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E:\VIWZ\Muster Walzasphalt Zulassung\"/>
    </mc:Choice>
  </mc:AlternateContent>
  <xr:revisionPtr revIDLastSave="0" documentId="8_{D65FD0F7-1872-4D0B-9C74-FD5A2F8C0169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Tabelle1" sheetId="1" r:id="rId1"/>
    <sheet name="Tabelle2" sheetId="2" r:id="rId2"/>
    <sheet name="Qualitätsanforderungen" sheetId="5" r:id="rId3"/>
    <sheet name="Kompatibilitätsbericht" sheetId="4" r:id="rId4"/>
  </sheets>
  <definedNames>
    <definedName name="A">Tabelle2!$Z$174</definedName>
    <definedName name="_xlnm.Print_Area" localSheetId="0">Tabelle1!$A$1:$R$81</definedName>
    <definedName name="Wenn_D12_1_0_SVERWEIS_D12_Tabelle2_AA38_AN56_8_Falsch">Tabelle1!$D$18</definedName>
    <definedName name="Z_9E44AD80_CA3C_11D2_BAA6_00A0249D5723_.wvu.PrintArea" localSheetId="0" hidden="1">Tabelle1!$A$1:$R$154</definedName>
    <definedName name="Z_A4778A62_A982_48A3_AF38_C778656415AB_.wvu.PrintArea" localSheetId="0" hidden="1">Tabelle1!$A$1:$S$81</definedName>
  </definedNames>
  <calcPr calcId="191029"/>
  <customWorkbookViews>
    <customWorkbookView name="Josef Kälin - Persönliche Ansicht" guid="{9E44AD80-CA3C-11D2-BAA6-00A0249D5723}" mergeInterval="0" personalView="1" maximized="1" windowWidth="987" windowHeight="606" activeSheetId="1"/>
    <customWorkbookView name="Bruno Zwyer - Persönliche Ansicht" guid="{A4778A62-A982-48A3-AF38-C778656415AB}" mergeInterval="0" personalView="1" maximized="1" xWindow="-8" yWindow="-8" windowWidth="2576" windowHeight="14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1" i="2" l="1"/>
  <c r="B187" i="2"/>
  <c r="B181" i="2"/>
  <c r="B182" i="2"/>
  <c r="B183" i="2"/>
  <c r="B184" i="2"/>
  <c r="B185" i="2"/>
  <c r="B186" i="2"/>
  <c r="B256" i="2" s="1"/>
  <c r="B257" i="2"/>
  <c r="B122" i="2"/>
  <c r="B116" i="2"/>
  <c r="B117" i="2"/>
  <c r="B118" i="2"/>
  <c r="B119" i="2"/>
  <c r="B120" i="2"/>
  <c r="AA21" i="1"/>
  <c r="D44" i="1" s="1"/>
  <c r="R125" i="2"/>
  <c r="S121" i="2"/>
  <c r="R120" i="2"/>
  <c r="K120" i="2"/>
  <c r="S119" i="2"/>
  <c r="K119" i="2"/>
  <c r="R118" i="2"/>
  <c r="K117" i="2"/>
  <c r="P116" i="2"/>
  <c r="K116" i="2"/>
  <c r="P114" i="2"/>
  <c r="S113" i="2"/>
  <c r="T111" i="2"/>
  <c r="S110" i="2"/>
  <c r="S109" i="2"/>
  <c r="S108" i="2"/>
  <c r="T107" i="2"/>
  <c r="T106" i="2"/>
  <c r="S105" i="2"/>
  <c r="S104" i="2"/>
  <c r="S103" i="2"/>
  <c r="S102" i="2"/>
  <c r="P98" i="2"/>
  <c r="P97" i="2"/>
  <c r="S96" i="2"/>
  <c r="S95" i="2"/>
  <c r="R101" i="2"/>
  <c r="P101" i="2"/>
  <c r="R100" i="2"/>
  <c r="P100" i="2"/>
  <c r="R99" i="2"/>
  <c r="P99" i="2"/>
  <c r="R94" i="2"/>
  <c r="P94" i="2"/>
  <c r="R93" i="2"/>
  <c r="P93" i="2"/>
  <c r="P92" i="2"/>
  <c r="P91" i="2"/>
  <c r="P90" i="2"/>
  <c r="P89" i="2"/>
  <c r="P88" i="2"/>
  <c r="K88" i="2"/>
  <c r="P87" i="2"/>
  <c r="K87" i="2"/>
  <c r="R83" i="2"/>
  <c r="B132" i="2"/>
  <c r="P48" i="2"/>
  <c r="S47" i="2"/>
  <c r="Q47" i="2"/>
  <c r="P47" i="2"/>
  <c r="R46" i="2"/>
  <c r="P46" i="2"/>
  <c r="T45" i="2"/>
  <c r="P45" i="2"/>
  <c r="S44" i="2"/>
  <c r="Q44" i="2"/>
  <c r="P44" i="2"/>
  <c r="T41" i="2"/>
  <c r="R41" i="2"/>
  <c r="Q41" i="2"/>
  <c r="P41" i="2"/>
  <c r="T40" i="2"/>
  <c r="R40" i="2"/>
  <c r="Q40" i="2"/>
  <c r="P40" i="2"/>
  <c r="S39" i="2"/>
  <c r="Q39" i="2"/>
  <c r="P39" i="2"/>
  <c r="S38" i="2"/>
  <c r="Q38" i="2"/>
  <c r="P38" i="2"/>
  <c r="S37" i="2"/>
  <c r="Q37" i="2"/>
  <c r="P37" i="2"/>
  <c r="S36" i="2"/>
  <c r="Q36" i="2"/>
  <c r="P36" i="2"/>
  <c r="R35" i="2"/>
  <c r="P35" i="2"/>
  <c r="R34" i="2"/>
  <c r="P34" i="2"/>
  <c r="R33" i="2"/>
  <c r="P33" i="2"/>
  <c r="P32" i="2"/>
  <c r="P31" i="2"/>
  <c r="S30" i="2"/>
  <c r="Q30" i="2"/>
  <c r="P30" i="2"/>
  <c r="S29" i="2"/>
  <c r="Q29" i="2"/>
  <c r="P29" i="2"/>
  <c r="R28" i="2"/>
  <c r="P28" i="2"/>
  <c r="R27" i="2"/>
  <c r="P27" i="2"/>
  <c r="P26" i="2"/>
  <c r="P25" i="2"/>
  <c r="P24" i="2"/>
  <c r="P23" i="2"/>
  <c r="P22" i="2"/>
  <c r="K22" i="2"/>
  <c r="P21" i="2"/>
  <c r="K21" i="2"/>
  <c r="R17" i="2"/>
  <c r="P17" i="2"/>
  <c r="P16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U7" i="2"/>
  <c r="T7" i="2"/>
  <c r="S7" i="2"/>
  <c r="AB15" i="1"/>
  <c r="B80" i="2"/>
  <c r="B145" i="2" s="1"/>
  <c r="B215" i="2" s="1"/>
  <c r="B81" i="2"/>
  <c r="B146" i="2" s="1"/>
  <c r="B216" i="2" s="1"/>
  <c r="B82" i="2"/>
  <c r="B147" i="2" s="1"/>
  <c r="B217" i="2" s="1"/>
  <c r="B83" i="2"/>
  <c r="B148" i="2" s="1"/>
  <c r="B218" i="2" s="1"/>
  <c r="B84" i="2"/>
  <c r="B149" i="2" s="1"/>
  <c r="B219" i="2" s="1"/>
  <c r="B85" i="2"/>
  <c r="B150" i="2" s="1"/>
  <c r="B220" i="2" s="1"/>
  <c r="B86" i="2"/>
  <c r="B151" i="2" s="1"/>
  <c r="B221" i="2" s="1"/>
  <c r="B87" i="2"/>
  <c r="B152" i="2" s="1"/>
  <c r="B222" i="2" s="1"/>
  <c r="B88" i="2"/>
  <c r="B153" i="2" s="1"/>
  <c r="B223" i="2" s="1"/>
  <c r="B89" i="2"/>
  <c r="B154" i="2" s="1"/>
  <c r="B224" i="2" s="1"/>
  <c r="D29" i="1"/>
  <c r="D30" i="1"/>
  <c r="AB14" i="1"/>
  <c r="G58" i="1"/>
  <c r="U6" i="2" s="1"/>
  <c r="G59" i="1"/>
  <c r="T6" i="2" s="1"/>
  <c r="R7" i="2"/>
  <c r="K7" i="2"/>
  <c r="CU67" i="1"/>
  <c r="CW67" i="1"/>
  <c r="CY67" i="1"/>
  <c r="CU68" i="1"/>
  <c r="CW68" i="1"/>
  <c r="CY68" i="1"/>
  <c r="CU69" i="1"/>
  <c r="CW69" i="1"/>
  <c r="CY69" i="1"/>
  <c r="CU70" i="1"/>
  <c r="CW70" i="1"/>
  <c r="CY70" i="1"/>
  <c r="C7" i="2"/>
  <c r="M7" i="2"/>
  <c r="O7" i="2"/>
  <c r="Q7" i="2"/>
  <c r="E7" i="2"/>
  <c r="G7" i="2"/>
  <c r="I7" i="2"/>
  <c r="P7" i="2"/>
  <c r="A81" i="2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P82" i="2"/>
  <c r="P83" i="2"/>
  <c r="R85" i="2"/>
  <c r="R86" i="2"/>
  <c r="B90" i="2"/>
  <c r="B155" i="2" s="1"/>
  <c r="B225" i="2" s="1"/>
  <c r="B91" i="2"/>
  <c r="B156" i="2" s="1"/>
  <c r="B226" i="2" s="1"/>
  <c r="B92" i="2"/>
  <c r="B157" i="2" s="1"/>
  <c r="B227" i="2" s="1"/>
  <c r="B93" i="2"/>
  <c r="B158" i="2"/>
  <c r="B228" i="2" s="1"/>
  <c r="B94" i="2"/>
  <c r="B159" i="2" s="1"/>
  <c r="B229" i="2" s="1"/>
  <c r="B95" i="2"/>
  <c r="B160" i="2" s="1"/>
  <c r="B230" i="2" s="1"/>
  <c r="B96" i="2"/>
  <c r="B161" i="2" s="1"/>
  <c r="B231" i="2" s="1"/>
  <c r="B97" i="2"/>
  <c r="B162" i="2" s="1"/>
  <c r="B232" i="2" s="1"/>
  <c r="B98" i="2"/>
  <c r="B163" i="2" s="1"/>
  <c r="B233" i="2" s="1"/>
  <c r="B99" i="2"/>
  <c r="B164" i="2" s="1"/>
  <c r="B234" i="2" s="1"/>
  <c r="B100" i="2"/>
  <c r="B165" i="2" s="1"/>
  <c r="B235" i="2" s="1"/>
  <c r="B101" i="2"/>
  <c r="B166" i="2" s="1"/>
  <c r="B236" i="2" s="1"/>
  <c r="B102" i="2"/>
  <c r="B167" i="2" s="1"/>
  <c r="B237" i="2" s="1"/>
  <c r="B103" i="2"/>
  <c r="B168" i="2"/>
  <c r="B238" i="2" s="1"/>
  <c r="B104" i="2"/>
  <c r="B169" i="2" s="1"/>
  <c r="B239" i="2" s="1"/>
  <c r="B105" i="2"/>
  <c r="B170" i="2" s="1"/>
  <c r="B240" i="2" s="1"/>
  <c r="B106" i="2"/>
  <c r="B171" i="2" s="1"/>
  <c r="B241" i="2" s="1"/>
  <c r="B107" i="2"/>
  <c r="B172" i="2" s="1"/>
  <c r="B242" i="2" s="1"/>
  <c r="B108" i="2"/>
  <c r="B173" i="2" s="1"/>
  <c r="B243" i="2" s="1"/>
  <c r="B109" i="2"/>
  <c r="B174" i="2" s="1"/>
  <c r="B244" i="2" s="1"/>
  <c r="B110" i="2"/>
  <c r="B175" i="2" s="1"/>
  <c r="B245" i="2" s="1"/>
  <c r="B111" i="2"/>
  <c r="B176" i="2" s="1"/>
  <c r="B246" i="2" s="1"/>
  <c r="B112" i="2"/>
  <c r="B177" i="2" s="1"/>
  <c r="B247" i="2" s="1"/>
  <c r="P112" i="2"/>
  <c r="Q112" i="2"/>
  <c r="S112" i="2"/>
  <c r="B113" i="2"/>
  <c r="B114" i="2"/>
  <c r="B179" i="2" s="1"/>
  <c r="B249" i="2" s="1"/>
  <c r="B115" i="2"/>
  <c r="B180" i="2" s="1"/>
  <c r="B250" i="2" s="1"/>
  <c r="S115" i="2"/>
  <c r="B251" i="2"/>
  <c r="B252" i="2"/>
  <c r="B253" i="2"/>
  <c r="K121" i="2"/>
  <c r="K122" i="2"/>
  <c r="B123" i="2"/>
  <c r="B188" i="2" s="1"/>
  <c r="B258" i="2" s="1"/>
  <c r="R123" i="2"/>
  <c r="B124" i="2"/>
  <c r="B189" i="2" s="1"/>
  <c r="B259" i="2" s="1"/>
  <c r="S124" i="2"/>
  <c r="B125" i="2"/>
  <c r="B190" i="2" s="1"/>
  <c r="B260" i="2" s="1"/>
  <c r="B126" i="2"/>
  <c r="B191" i="2" s="1"/>
  <c r="B261" i="2" s="1"/>
  <c r="B127" i="2"/>
  <c r="B192" i="2" s="1"/>
  <c r="B262" i="2" s="1"/>
  <c r="B194" i="2"/>
  <c r="B130" i="2"/>
  <c r="B195" i="2"/>
  <c r="B265" i="2" s="1"/>
  <c r="B131" i="2"/>
  <c r="B196" i="2" s="1"/>
  <c r="B266" i="2" s="1"/>
  <c r="B133" i="2"/>
  <c r="B198" i="2" s="1"/>
  <c r="B268" i="2" s="1"/>
  <c r="B134" i="2"/>
  <c r="B199" i="2"/>
  <c r="B269" i="2" s="1"/>
  <c r="B135" i="2"/>
  <c r="B200" i="2" s="1"/>
  <c r="B270" i="2" s="1"/>
  <c r="B136" i="2"/>
  <c r="B201" i="2" s="1"/>
  <c r="B271" i="2" s="1"/>
  <c r="B137" i="2"/>
  <c r="B202" i="2" s="1"/>
  <c r="B272" i="2" s="1"/>
  <c r="B138" i="2"/>
  <c r="B203" i="2" s="1"/>
  <c r="B273" i="2" s="1"/>
  <c r="B139" i="2"/>
  <c r="B204" i="2" s="1"/>
  <c r="B274" i="2" s="1"/>
  <c r="B140" i="2"/>
  <c r="B205" i="2" s="1"/>
  <c r="B275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B178" i="2"/>
  <c r="B248" i="2" s="1"/>
  <c r="B197" i="2"/>
  <c r="B267" i="2" s="1"/>
  <c r="B206" i="2"/>
  <c r="A216" i="2"/>
  <c r="A217" i="2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B254" i="2"/>
  <c r="B255" i="2"/>
  <c r="AB13" i="1"/>
  <c r="J7" i="1"/>
  <c r="G62" i="1"/>
  <c r="Q6" i="2" s="1"/>
  <c r="G64" i="1"/>
  <c r="O6" i="2" s="1"/>
  <c r="G65" i="1"/>
  <c r="G61" i="1"/>
  <c r="R6" i="2" s="1"/>
  <c r="G66" i="1"/>
  <c r="K5" i="2" s="1"/>
  <c r="G60" i="1"/>
  <c r="S5" i="2" s="1"/>
  <c r="G70" i="1"/>
  <c r="I13" i="1" l="1"/>
  <c r="AA20" i="1"/>
  <c r="D43" i="1" s="1"/>
  <c r="C5" i="2"/>
  <c r="M5" i="2"/>
  <c r="B8" i="2"/>
  <c r="B9" i="2"/>
  <c r="G54" i="1"/>
  <c r="A61" i="2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60" i="2"/>
  <c r="K6" i="2"/>
  <c r="U5" i="2"/>
  <c r="Q5" i="2"/>
  <c r="G32" i="1"/>
  <c r="G46" i="1"/>
  <c r="T5" i="2"/>
  <c r="G48" i="1"/>
  <c r="G45" i="1"/>
  <c r="G52" i="1"/>
  <c r="G53" i="1"/>
  <c r="R5" i="2"/>
  <c r="G47" i="1"/>
  <c r="O5" i="2"/>
  <c r="S6" i="2"/>
  <c r="C6" i="2"/>
  <c r="M6" i="2"/>
  <c r="S9" i="2" l="1"/>
  <c r="V9" i="2"/>
  <c r="U9" i="2"/>
  <c r="I9" i="2"/>
  <c r="C9" i="2"/>
  <c r="O9" i="2"/>
  <c r="Q9" i="2"/>
  <c r="P9" i="2"/>
  <c r="T9" i="2"/>
  <c r="K9" i="2"/>
  <c r="M9" i="2"/>
  <c r="R9" i="2"/>
  <c r="P8" i="2"/>
  <c r="O8" i="2"/>
  <c r="R8" i="2"/>
  <c r="I8" i="2"/>
  <c r="M8" i="2"/>
  <c r="V8" i="2"/>
  <c r="S8" i="2"/>
  <c r="K8" i="2"/>
  <c r="C8" i="2"/>
  <c r="T8" i="2"/>
  <c r="U8" i="2"/>
  <c r="Q8" i="2"/>
</calcChain>
</file>

<file path=xl/sharedStrings.xml><?xml version="1.0" encoding="utf-8"?>
<sst xmlns="http://schemas.openxmlformats.org/spreadsheetml/2006/main" count="711" uniqueCount="230">
  <si>
    <t>PA 11</t>
  </si>
  <si>
    <t>PA 8</t>
  </si>
  <si>
    <t>obere Begrenzung</t>
  </si>
  <si>
    <t>Sollkurve</t>
  </si>
  <si>
    <t>Toleranz</t>
  </si>
  <si>
    <t>Toleranz (+)</t>
  </si>
  <si>
    <t>Toleranz (-)</t>
  </si>
  <si>
    <t>Toleranzen</t>
  </si>
  <si>
    <t xml:space="preserve"> -8/+5</t>
  </si>
  <si>
    <t xml:space="preserve"> -9/+5</t>
  </si>
  <si>
    <t>Sollwerte</t>
  </si>
  <si>
    <t>Anforderungen</t>
  </si>
  <si>
    <t>- Füller</t>
  </si>
  <si>
    <t>- feine Gesteinskörnung</t>
  </si>
  <si>
    <t>- grobe Gesteinskörnung</t>
  </si>
  <si>
    <t>- Raumdichte</t>
  </si>
  <si>
    <t>- Rohdichte</t>
  </si>
  <si>
    <t>- Stabilität S kN</t>
  </si>
  <si>
    <t>Mineralkategorie</t>
  </si>
  <si>
    <t>≤ 83</t>
  </si>
  <si>
    <t>≥ 7.5</t>
  </si>
  <si>
    <t>2…5</t>
  </si>
  <si>
    <t>≤ 10%</t>
  </si>
  <si>
    <t>Marshall-Werte:</t>
  </si>
  <si>
    <t>- Fliessen F, mm</t>
  </si>
  <si>
    <t>± 0.5</t>
  </si>
  <si>
    <t>Bindemittel</t>
  </si>
  <si>
    <t>Mineralkat.</t>
  </si>
  <si>
    <r>
      <t>C</t>
    </r>
    <r>
      <rPr>
        <vertAlign val="subscript"/>
        <sz val="10"/>
        <rFont val="Arial"/>
        <family val="2"/>
      </rPr>
      <t>95/1</t>
    </r>
  </si>
  <si>
    <r>
      <t>C</t>
    </r>
    <r>
      <rPr>
        <vertAlign val="subscript"/>
        <sz val="10"/>
        <rFont val="Arial"/>
        <family val="2"/>
      </rPr>
      <t>50/10</t>
    </r>
  </si>
  <si>
    <r>
      <t>C</t>
    </r>
    <r>
      <rPr>
        <vertAlign val="subscript"/>
        <sz val="10"/>
        <rFont val="Arial"/>
        <family val="2"/>
      </rPr>
      <t>50/30</t>
    </r>
  </si>
  <si>
    <t>Recycling</t>
  </si>
  <si>
    <t>kalt</t>
  </si>
  <si>
    <t>warm</t>
  </si>
  <si>
    <t>HM</t>
  </si>
  <si>
    <t>3.0…6.0</t>
  </si>
  <si>
    <t>2.0…5.0</t>
  </si>
  <si>
    <t>4.0…7.0</t>
  </si>
  <si>
    <t>3.0…10.0</t>
  </si>
  <si>
    <t>HFB</t>
  </si>
  <si>
    <t>≤ 86</t>
  </si>
  <si>
    <t>≤ 80</t>
  </si>
  <si>
    <t>≥ 5.0</t>
  </si>
  <si>
    <t>SM</t>
  </si>
  <si>
    <t>FM</t>
  </si>
  <si>
    <t>2…4</t>
  </si>
  <si>
    <t>1.5…3.5</t>
  </si>
  <si>
    <t>Spurrinnentest</t>
  </si>
  <si>
    <t>≤ 7.5%</t>
  </si>
  <si>
    <t xml:space="preserve"> ---</t>
  </si>
  <si>
    <t>≥ 70%</t>
  </si>
  <si>
    <t>Wasserempf.</t>
  </si>
  <si>
    <t>Bdm</t>
  </si>
  <si>
    <t>± 0.6</t>
  </si>
  <si>
    <t>Recycling-Granulat</t>
  </si>
  <si>
    <t>- Kaltzugabe</t>
  </si>
  <si>
    <t>M-%</t>
  </si>
  <si>
    <t>- Warmzugabe</t>
  </si>
  <si>
    <t>Toleranz EW =</t>
  </si>
  <si>
    <t>- Verdichtungstemperatur</t>
  </si>
  <si>
    <t>- Mineralanteil Splitte ≥ 2.0 mm</t>
  </si>
  <si>
    <r>
      <t>min.  [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/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mm]</t>
    </r>
  </si>
  <si>
    <r>
      <t>max. [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/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mm]</t>
    </r>
  </si>
  <si>
    <t xml:space="preserve"> = Internet - Asphaltmischguttypen</t>
  </si>
  <si>
    <t xml:space="preserve"> </t>
  </si>
  <si>
    <t>Mischgutangaben</t>
  </si>
  <si>
    <t>min.</t>
  </si>
  <si>
    <t>Mineralstoffe Herkunft:</t>
  </si>
  <si>
    <t>Korngrössenverteilung:</t>
  </si>
  <si>
    <t>- Penetration:</t>
  </si>
  <si>
    <t>- Erweichungspunkt R+K: max.</t>
  </si>
  <si>
    <t>- Einzelwerte Siebdurchgang</t>
  </si>
  <si>
    <t>mm</t>
  </si>
  <si>
    <t>[M-%]</t>
  </si>
  <si>
    <t>Bindemittel:</t>
  </si>
  <si>
    <t>Bei H und S Belägen:</t>
  </si>
  <si>
    <t>Spurrinnentest LCPC [29]</t>
  </si>
  <si>
    <r>
      <t xml:space="preserve">Prüfstelle: </t>
    </r>
    <r>
      <rPr>
        <b/>
        <i/>
        <sz val="10"/>
        <rFont val="Arial"/>
        <family val="2"/>
      </rPr>
      <t/>
    </r>
  </si>
  <si>
    <t>Oben</t>
  </si>
  <si>
    <t>Unten</t>
  </si>
  <si>
    <t xml:space="preserve">Lieferwerk: </t>
  </si>
  <si>
    <t>N, S, H</t>
  </si>
  <si>
    <t>L</t>
  </si>
  <si>
    <t>Begrenzungen Korngrössenverteilung</t>
  </si>
  <si>
    <t>unten</t>
  </si>
  <si>
    <t>oben</t>
  </si>
  <si>
    <t>untere Begrenzung</t>
  </si>
  <si>
    <t>AC 11 L</t>
  </si>
  <si>
    <t>AC 16 L</t>
  </si>
  <si>
    <t>AC 4 L</t>
  </si>
  <si>
    <t>AC 8 L</t>
  </si>
  <si>
    <t>ACF 22</t>
  </si>
  <si>
    <t>ACF 32</t>
  </si>
  <si>
    <t>Feststoffe im Mischgut</t>
  </si>
  <si>
    <t>Rohdichte der</t>
  </si>
  <si>
    <t>=</t>
  </si>
  <si>
    <t>- Hohlraumfüllungsgrad VFB,%</t>
  </si>
  <si>
    <r>
      <t>B</t>
    </r>
    <r>
      <rPr>
        <vertAlign val="subscript"/>
        <sz val="9"/>
        <rFont val="Arial Narrow"/>
        <family val="2"/>
      </rPr>
      <t xml:space="preserve">lösl.       </t>
    </r>
    <r>
      <rPr>
        <sz val="9"/>
        <rFont val="Arial Narrow"/>
        <family val="2"/>
      </rPr>
      <t xml:space="preserve"> =</t>
    </r>
  </si>
  <si>
    <r>
      <t>RD</t>
    </r>
    <r>
      <rPr>
        <vertAlign val="subscript"/>
        <sz val="9"/>
        <rFont val="Arial Narrow"/>
        <family val="2"/>
      </rPr>
      <t xml:space="preserve">Fest  </t>
    </r>
    <r>
      <rPr>
        <sz val="9"/>
        <rFont val="Arial Narrow"/>
        <family val="2"/>
      </rPr>
      <t xml:space="preserve"> =</t>
    </r>
  </si>
  <si>
    <t>Raumdichte Marshall</t>
  </si>
  <si>
    <t>Rohdichte Mischgut</t>
  </si>
  <si>
    <t>Rohdichte Feststoffe</t>
  </si>
  <si>
    <t>Bindemittel lösl.</t>
  </si>
  <si>
    <t>Hohlraum Marshall</t>
  </si>
  <si>
    <t>Vol.-%</t>
  </si>
  <si>
    <r>
      <t>HM,V</t>
    </r>
    <r>
      <rPr>
        <vertAlign val="subscript"/>
        <sz val="9"/>
        <rFont val="Arial Narrow"/>
        <family val="2"/>
      </rPr>
      <t xml:space="preserve">m  </t>
    </r>
    <r>
      <rPr>
        <sz val="9"/>
        <rFont val="Arial Narrow"/>
        <family val="2"/>
      </rPr>
      <t>=</t>
    </r>
  </si>
  <si>
    <t>Behelf</t>
  </si>
  <si>
    <t>2. Berechnungen</t>
  </si>
  <si>
    <t>Rückgewinnung aus Mischgut:</t>
  </si>
  <si>
    <t>- 10000 Prüfzyklen              %</t>
  </si>
  <si>
    <t>- 30000 Prüfzyklen              %</t>
  </si>
  <si>
    <t>Wasserempfindlichkeit         %</t>
  </si>
  <si>
    <t>---</t>
  </si>
  <si>
    <t>- ∑ lösl. Bindemittelgehalt M-%</t>
  </si>
  <si>
    <t>Walzasphalt - Deklaration</t>
  </si>
  <si>
    <t>Datum:</t>
  </si>
  <si>
    <t>AC EME 22 C1</t>
  </si>
  <si>
    <t>AC EME 22 C2</t>
  </si>
  <si>
    <t>≥ 11000</t>
  </si>
  <si>
    <t>≥ 14000</t>
  </si>
  <si>
    <t>≥ 100</t>
  </si>
  <si>
    <t>≥ 130</t>
  </si>
  <si>
    <t>≥ 2.7</t>
  </si>
  <si>
    <t>≥ 3.3</t>
  </si>
  <si>
    <r>
      <t>C</t>
    </r>
    <r>
      <rPr>
        <vertAlign val="subscript"/>
        <sz val="10"/>
        <rFont val="Arial"/>
        <family val="2"/>
      </rPr>
      <t>70/10</t>
    </r>
  </si>
  <si>
    <t>≤ 89</t>
  </si>
  <si>
    <t>- Elastische Rückstellung [%]</t>
  </si>
  <si>
    <t xml:space="preserve">Code: </t>
  </si>
  <si>
    <t>Akkreditiertes Labor</t>
  </si>
  <si>
    <t>AC RAIL 16</t>
  </si>
  <si>
    <t>AC RAIL 22</t>
  </si>
  <si>
    <t xml:space="preserve">  </t>
  </si>
  <si>
    <t>- Erweichungspunkt R+K: min.</t>
  </si>
  <si>
    <t>erfüllt</t>
  </si>
  <si>
    <t xml:space="preserve">Konformitätserklärung </t>
  </si>
  <si>
    <t>AC 11 N</t>
  </si>
  <si>
    <t>Warmzugabe</t>
  </si>
  <si>
    <t>20 - 40%</t>
  </si>
  <si>
    <t>10 - 30%</t>
  </si>
  <si>
    <t>30 - 50%</t>
  </si>
  <si>
    <t>40 - 60%</t>
  </si>
  <si>
    <t xml:space="preserve">Kaltzugabe </t>
  </si>
  <si>
    <t>5 - 15%</t>
  </si>
  <si>
    <t>15 - 25%</t>
  </si>
  <si>
    <t>Nummer:</t>
  </si>
  <si>
    <t>gültig bis:</t>
  </si>
  <si>
    <t>Belagswerk</t>
  </si>
  <si>
    <t>Stempel / Unterschrift</t>
  </si>
  <si>
    <t>Unternehmer</t>
  </si>
  <si>
    <t xml:space="preserve">Ziel-Bitumen </t>
  </si>
  <si>
    <t>Zugabebitumen</t>
  </si>
  <si>
    <t>- Kalkhydrat</t>
  </si>
  <si>
    <t>- Hohlraumgehalt Vm, Vol-%</t>
  </si>
  <si>
    <t xml:space="preserve">AC 8 N </t>
  </si>
  <si>
    <t xml:space="preserve">AC 8 S </t>
  </si>
  <si>
    <t>10 - 25%</t>
  </si>
  <si>
    <t>20 - 30%</t>
  </si>
  <si>
    <t xml:space="preserve">AC 8 H </t>
  </si>
  <si>
    <t xml:space="preserve">AC MR 8 </t>
  </si>
  <si>
    <t xml:space="preserve">AC MR 11 </t>
  </si>
  <si>
    <t>AC 11 S</t>
  </si>
  <si>
    <t xml:space="preserve">AC 11 H </t>
  </si>
  <si>
    <t>AC B 11 S</t>
  </si>
  <si>
    <t xml:space="preserve">AC B 16 S </t>
  </si>
  <si>
    <t xml:space="preserve">AC B 16 H </t>
  </si>
  <si>
    <t xml:space="preserve">AC B 22 S </t>
  </si>
  <si>
    <t xml:space="preserve">AC B 22 H </t>
  </si>
  <si>
    <t>AC T 11 L</t>
  </si>
  <si>
    <t>AC T 11 N</t>
  </si>
  <si>
    <t>AC T 16 L</t>
  </si>
  <si>
    <t xml:space="preserve">AC T 16 N </t>
  </si>
  <si>
    <t xml:space="preserve">AC T 16 S </t>
  </si>
  <si>
    <t>AC T 22 L</t>
  </si>
  <si>
    <t xml:space="preserve">AC T 22 N </t>
  </si>
  <si>
    <t xml:space="preserve">AC T 22 S </t>
  </si>
  <si>
    <t xml:space="preserve">AC T 22 H </t>
  </si>
  <si>
    <t>AC T 32 S</t>
  </si>
  <si>
    <t>AC T 32 H</t>
  </si>
  <si>
    <t xml:space="preserve">SMA 8 </t>
  </si>
  <si>
    <t xml:space="preserve">SMA 11 </t>
  </si>
  <si>
    <t>PA B 16</t>
  </si>
  <si>
    <t>PA B 22</t>
  </si>
  <si>
    <t>PA S 16</t>
  </si>
  <si>
    <t>PA S 22</t>
  </si>
  <si>
    <t>PA S 32</t>
  </si>
  <si>
    <t>A1</t>
  </si>
  <si>
    <t>≥ 16</t>
  </si>
  <si>
    <t>≥ 18</t>
  </si>
  <si>
    <t>≥ 22</t>
  </si>
  <si>
    <t>≥ 80%</t>
  </si>
  <si>
    <t>Qualitätsanfordernung an rückge-</t>
  </si>
  <si>
    <t>wonnene Bindemittel Mischgut</t>
  </si>
  <si>
    <t>Gemäss Tabelle Nr.1</t>
  </si>
  <si>
    <r>
      <t>C</t>
    </r>
    <r>
      <rPr>
        <vertAlign val="subscript"/>
        <sz val="10"/>
        <rFont val="Arial"/>
        <family val="2"/>
      </rPr>
      <t>90/1</t>
    </r>
  </si>
  <si>
    <r>
      <t>C</t>
    </r>
    <r>
      <rPr>
        <vertAlign val="subscript"/>
        <sz val="10"/>
        <rFont val="Arial"/>
        <family val="2"/>
      </rPr>
      <t>NR</t>
    </r>
  </si>
  <si>
    <t>1.0…4.0</t>
  </si>
  <si>
    <t>0.5…2.5</t>
  </si>
  <si>
    <t>≤ 5.0%</t>
  </si>
  <si>
    <t>10.0…14.0</t>
  </si>
  <si>
    <t>14.0…18.0</t>
  </si>
  <si>
    <t>18.0…22.0</t>
  </si>
  <si>
    <r>
      <t>Mg/m</t>
    </r>
    <r>
      <rPr>
        <vertAlign val="superscript"/>
        <sz val="10"/>
        <rFont val="Arial"/>
        <family val="2"/>
      </rPr>
      <t xml:space="preserve">3  </t>
    </r>
  </si>
  <si>
    <r>
      <t>Mg/m</t>
    </r>
    <r>
      <rPr>
        <vertAlign val="superscript"/>
        <sz val="10"/>
        <rFont val="Arial"/>
        <family val="2"/>
      </rPr>
      <t>3</t>
    </r>
  </si>
  <si>
    <r>
      <t>Mg/m</t>
    </r>
    <r>
      <rPr>
        <vertAlign val="superscript"/>
        <sz val="9"/>
        <rFont val="Arial"/>
        <family val="2"/>
      </rPr>
      <t>3</t>
    </r>
  </si>
  <si>
    <r>
      <t>Mg/m</t>
    </r>
    <r>
      <rPr>
        <vertAlign val="superscript"/>
        <sz val="9"/>
        <rFont val="Arial Narrow"/>
        <family val="2"/>
      </rPr>
      <t>3</t>
    </r>
  </si>
  <si>
    <t>Kompatibilitätsbericht für Walzasphalt-Zulassung ab 2018.xls</t>
  </si>
  <si>
    <t>Erstellt am 13.12.2018 14:14</t>
  </si>
  <si>
    <t>Wenn die Arbeitsmappe in einem früheren Dateiformat gespeichert oder in einer früheren Version von Microsoft Excel geöffnet wird, sind die aufgeführten Features nicht verfügbar.</t>
  </si>
  <si>
    <t>Geringer Genauigkeitsverlust</t>
  </si>
  <si>
    <t>Anzahl</t>
  </si>
  <si>
    <t>Version</t>
  </si>
  <si>
    <t>Einige Zellen oder Formatvorlagen in dieser Arbeitsmappe enthalten eine Formatierung, die vom ausgewählten Dateiformat nicht unterstützt wird. Diese Formate werden in das ähnlichste verfügbare Format konvertiert.</t>
  </si>
  <si>
    <t>Excel 97-2003</t>
  </si>
  <si>
    <t>SDA 4 - 16</t>
  </si>
  <si>
    <t>SDA 4 - 12</t>
  </si>
  <si>
    <t>SDA 4 - 20</t>
  </si>
  <si>
    <t>SDA 8 - 12</t>
  </si>
  <si>
    <t>SDA 8 - 16</t>
  </si>
  <si>
    <t>- Sekundärsplitt</t>
  </si>
  <si>
    <t>Typprüfung</t>
  </si>
  <si>
    <t>- Mineralanteil Sand &lt; 2.0 mm</t>
  </si>
  <si>
    <t>50 - 70%</t>
  </si>
  <si>
    <t>60 - 80%</t>
  </si>
  <si>
    <t>Splitt aus Ausbauasphalt gewonnen</t>
  </si>
  <si>
    <t>1.5…5.0</t>
  </si>
  <si>
    <t>Umweltwirkung:</t>
  </si>
  <si>
    <t>Umweltbelastungspunkte</t>
  </si>
  <si>
    <t>UBP/t</t>
  </si>
  <si>
    <t>Treibhausgasemissionen</t>
  </si>
  <si>
    <r>
      <t>kg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- eq/t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</si>
</sst>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"/>
    <numFmt numFmtId="165" formatCode="0.00;\-0.00;&quot;&quot;"/>
    <numFmt numFmtId="166" formatCode="0.000"/>
    <numFmt numFmtId="167" formatCode="&quot;±&quot;\ 0"/>
    <numFmt numFmtId="168" formatCode="&quot;min.&quot;\ 0.0\ &quot;M-%&quot;"/>
    <numFmt numFmtId="169" formatCode="0\ &quot;M-%&quot;"/>
    <numFmt numFmtId="170" formatCode="0\ &quot;°C&quot;"/>
    <numFmt numFmtId="171" formatCode="&quot;VFB   = &quot;0.0"/>
    <numFmt numFmtId="172" formatCode="&quot;VMA  = &quot;0.0"/>
    <numFmt numFmtId="173" formatCode="&quot;Prüfwert   =  &quot;0.0"/>
    <numFmt numFmtId="174" formatCode="dd/mm/yyyy;@"/>
    <numFmt numFmtId="175" formatCode="&quot;ROD   = &quot;0.000"/>
    <numFmt numFmtId="176" formatCode="&quot;~&quot;\ 0.000"/>
  </numFmts>
  <fonts count="4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b/>
      <sz val="13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name val="Arial Narrow"/>
      <family val="2"/>
    </font>
    <font>
      <vertAlign val="subscript"/>
      <sz val="9"/>
      <name val="Arial Narrow"/>
      <family val="2"/>
    </font>
    <font>
      <sz val="8"/>
      <name val="Arial Narrow"/>
      <family val="2"/>
    </font>
    <font>
      <vertAlign val="superscript"/>
      <sz val="9"/>
      <name val="Arial Narrow"/>
      <family val="2"/>
    </font>
    <font>
      <sz val="9"/>
      <color indexed="12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name val="Calibri"/>
      <family val="2"/>
    </font>
    <font>
      <b/>
      <i/>
      <sz val="8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b/>
      <sz val="10"/>
      <color rgb="FFFF0000"/>
      <name val="Arial"/>
      <family val="2"/>
    </font>
    <font>
      <b/>
      <sz val="10"/>
      <name val="Arial"/>
    </font>
    <font>
      <b/>
      <vertAlign val="sub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13"/>
      </patternFill>
    </fill>
    <fill>
      <patternFill patternType="solid">
        <fgColor theme="0"/>
        <bgColor indexed="13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12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/>
      <top/>
      <bottom/>
      <diagonal/>
    </border>
    <border>
      <left/>
      <right style="hair">
        <color indexed="12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5" fillId="0" borderId="0"/>
  </cellStyleXfs>
  <cellXfs count="49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2" fontId="0" fillId="3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5" borderId="0" xfId="0" applyFont="1" applyFill="1" applyAlignment="1">
      <alignment horizontal="right" vertical="center"/>
    </xf>
    <xf numFmtId="2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4" fontId="8" fillId="0" borderId="15" xfId="0" applyNumberFormat="1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/>
    </xf>
    <xf numFmtId="2" fontId="3" fillId="0" borderId="19" xfId="0" applyNumberFormat="1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9" fontId="0" fillId="0" borderId="6" xfId="0" applyNumberForma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49" fontId="0" fillId="0" borderId="6" xfId="0" quotePrefix="1" applyNumberFormat="1" applyBorder="1" applyAlignment="1">
      <alignment horizontal="left" vertical="center"/>
    </xf>
    <xf numFmtId="2" fontId="0" fillId="0" borderId="1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49" fontId="7" fillId="0" borderId="6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49" fontId="0" fillId="0" borderId="4" xfId="0" quotePrefix="1" applyNumberForma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7" fillId="0" borderId="6" xfId="0" quotePrefix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2" fontId="0" fillId="0" borderId="32" xfId="0" applyNumberFormat="1" applyBorder="1" applyAlignment="1">
      <alignment horizontal="center" vertical="center"/>
    </xf>
    <xf numFmtId="167" fontId="7" fillId="0" borderId="33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164" fontId="0" fillId="0" borderId="33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0" fillId="0" borderId="33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34" xfId="0" applyBorder="1" applyAlignment="1">
      <alignment vertical="center"/>
    </xf>
    <xf numFmtId="166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167" fontId="7" fillId="0" borderId="35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66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/>
    <xf numFmtId="49" fontId="11" fillId="0" borderId="37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0" fontId="7" fillId="6" borderId="0" xfId="1" applyFont="1" applyFill="1" applyAlignment="1">
      <alignment horizontal="center"/>
    </xf>
    <xf numFmtId="2" fontId="0" fillId="0" borderId="19" xfId="0" applyNumberFormat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2" fontId="0" fillId="0" borderId="19" xfId="0" applyNumberFormat="1" applyBorder="1" applyAlignment="1" applyProtection="1">
      <alignment vertical="center"/>
      <protection locked="0"/>
    </xf>
    <xf numFmtId="2" fontId="0" fillId="7" borderId="0" xfId="0" applyNumberForma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38" xfId="0" applyFont="1" applyBorder="1" applyAlignment="1">
      <alignment vertical="center"/>
    </xf>
    <xf numFmtId="164" fontId="23" fillId="0" borderId="39" xfId="0" applyNumberFormat="1" applyFont="1" applyBorder="1" applyAlignment="1">
      <alignment horizontal="center" vertical="center"/>
    </xf>
    <xf numFmtId="0" fontId="23" fillId="0" borderId="40" xfId="0" applyFont="1" applyBorder="1" applyAlignment="1">
      <alignment vertical="center"/>
    </xf>
    <xf numFmtId="0" fontId="23" fillId="0" borderId="4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vertical="top"/>
      <protection locked="0"/>
    </xf>
    <xf numFmtId="2" fontId="14" fillId="0" borderId="0" xfId="0" applyNumberFormat="1" applyFont="1" applyAlignment="1">
      <alignment vertical="center"/>
    </xf>
    <xf numFmtId="2" fontId="1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3" fontId="18" fillId="0" borderId="0" xfId="1" applyNumberFormat="1" applyFont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9" fillId="0" borderId="0" xfId="0" applyFont="1"/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6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16" fontId="7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8" borderId="0" xfId="1" applyFont="1" applyFill="1" applyAlignment="1">
      <alignment vertical="center"/>
    </xf>
    <xf numFmtId="0" fontId="19" fillId="0" borderId="0" xfId="0" applyFont="1" applyAlignment="1">
      <alignment horizontal="left"/>
    </xf>
    <xf numFmtId="0" fontId="7" fillId="0" borderId="0" xfId="0" applyFont="1"/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49" fontId="1" fillId="0" borderId="6" xfId="0" quotePrefix="1" applyNumberFormat="1" applyFont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2" fontId="21" fillId="7" borderId="0" xfId="0" applyNumberFormat="1" applyFont="1" applyFill="1" applyAlignment="1" applyProtection="1">
      <alignment horizontal="left"/>
      <protection locked="0"/>
    </xf>
    <xf numFmtId="2" fontId="21" fillId="7" borderId="0" xfId="0" applyNumberFormat="1" applyFont="1" applyFill="1" applyAlignment="1" applyProtection="1">
      <alignment horizontal="left" vertical="top"/>
      <protection locked="0"/>
    </xf>
    <xf numFmtId="49" fontId="3" fillId="0" borderId="0" xfId="1" applyNumberFormat="1" applyFont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18" fillId="0" borderId="0" xfId="1" quotePrefix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4" xfId="0" applyFont="1" applyBorder="1"/>
    <xf numFmtId="0" fontId="35" fillId="9" borderId="0" xfId="0" applyFont="1" applyFill="1" applyAlignment="1">
      <alignment horizontal="center"/>
    </xf>
    <xf numFmtId="0" fontId="35" fillId="9" borderId="0" xfId="0" applyFont="1" applyFill="1" applyAlignment="1" applyProtection="1">
      <alignment horizontal="center"/>
      <protection locked="0"/>
    </xf>
    <xf numFmtId="0" fontId="0" fillId="9" borderId="0" xfId="0" applyFill="1"/>
    <xf numFmtId="0" fontId="33" fillId="9" borderId="0" xfId="0" applyFont="1" applyFill="1"/>
    <xf numFmtId="0" fontId="1" fillId="9" borderId="0" xfId="0" applyFont="1" applyFill="1"/>
    <xf numFmtId="0" fontId="34" fillId="9" borderId="26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2" fontId="3" fillId="0" borderId="48" xfId="0" applyNumberFormat="1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2" fontId="3" fillId="0" borderId="7" xfId="0" applyNumberFormat="1" applyFont="1" applyBorder="1" applyAlignment="1" applyProtection="1">
      <alignment horizontal="left" vertical="center"/>
      <protection locked="0"/>
    </xf>
    <xf numFmtId="0" fontId="34" fillId="9" borderId="0" xfId="0" applyFont="1" applyFill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2" fontId="0" fillId="0" borderId="29" xfId="0" applyNumberForma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2" fontId="0" fillId="0" borderId="30" xfId="0" applyNumberFormat="1" applyBorder="1" applyAlignment="1" applyProtection="1">
      <alignment horizontal="center" vertical="center"/>
      <protection locked="0"/>
    </xf>
    <xf numFmtId="0" fontId="3" fillId="9" borderId="48" xfId="0" applyFont="1" applyFill="1" applyBorder="1" applyAlignment="1">
      <alignment vertical="center"/>
    </xf>
    <xf numFmtId="2" fontId="1" fillId="0" borderId="0" xfId="0" applyNumberFormat="1" applyFont="1" applyAlignment="1">
      <alignment horizontal="left" vertical="top"/>
    </xf>
    <xf numFmtId="14" fontId="0" fillId="9" borderId="0" xfId="0" applyNumberFormat="1" applyFill="1" applyProtection="1"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17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10" borderId="0" xfId="0" applyFill="1"/>
    <xf numFmtId="0" fontId="36" fillId="9" borderId="0" xfId="0" applyFont="1" applyFill="1"/>
    <xf numFmtId="0" fontId="1" fillId="0" borderId="6" xfId="0" quotePrefix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7" fillId="9" borderId="0" xfId="1" applyFont="1" applyFill="1" applyAlignment="1">
      <alignment vertical="center"/>
    </xf>
    <xf numFmtId="0" fontId="7" fillId="9" borderId="0" xfId="1" applyFont="1" applyFill="1" applyAlignment="1">
      <alignment horizontal="center" vertical="center"/>
    </xf>
    <xf numFmtId="0" fontId="31" fillId="9" borderId="0" xfId="1" applyFont="1" applyFill="1" applyAlignment="1">
      <alignment vertical="center"/>
    </xf>
    <xf numFmtId="0" fontId="37" fillId="9" borderId="0" xfId="1" applyFont="1" applyFill="1" applyAlignment="1">
      <alignment vertical="center"/>
    </xf>
    <xf numFmtId="164" fontId="7" fillId="9" borderId="0" xfId="1" applyNumberFormat="1" applyFont="1" applyFill="1" applyAlignment="1">
      <alignment horizontal="center" vertical="center"/>
    </xf>
    <xf numFmtId="0" fontId="37" fillId="9" borderId="0" xfId="1" applyFont="1" applyFill="1" applyAlignment="1">
      <alignment horizontal="left" vertical="center"/>
    </xf>
    <xf numFmtId="0" fontId="37" fillId="9" borderId="0" xfId="1" applyFont="1" applyFill="1" applyAlignment="1">
      <alignment horizontal="center" vertical="center"/>
    </xf>
    <xf numFmtId="0" fontId="1" fillId="9" borderId="0" xfId="1" applyFont="1" applyFill="1" applyAlignment="1">
      <alignment horizontal="center" vertical="center"/>
    </xf>
    <xf numFmtId="0" fontId="38" fillId="9" borderId="0" xfId="1" applyFont="1" applyFill="1" applyAlignment="1">
      <alignment vertical="center"/>
    </xf>
    <xf numFmtId="0" fontId="0" fillId="0" borderId="46" xfId="0" applyBorder="1" applyAlignment="1">
      <alignment vertical="center"/>
    </xf>
    <xf numFmtId="164" fontId="0" fillId="0" borderId="49" xfId="0" applyNumberFormat="1" applyBorder="1" applyAlignment="1">
      <alignment vertical="center"/>
    </xf>
    <xf numFmtId="2" fontId="0" fillId="0" borderId="50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0" fontId="0" fillId="0" borderId="20" xfId="0" applyBorder="1" applyAlignment="1">
      <alignment vertical="center"/>
    </xf>
    <xf numFmtId="2" fontId="0" fillId="0" borderId="52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7" fillId="12" borderId="0" xfId="1" applyFont="1" applyFill="1" applyAlignment="1">
      <alignment vertical="center"/>
    </xf>
    <xf numFmtId="0" fontId="7" fillId="12" borderId="0" xfId="1" applyFont="1" applyFill="1" applyAlignment="1">
      <alignment horizontal="center" vertical="center"/>
    </xf>
    <xf numFmtId="0" fontId="31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37" fillId="0" borderId="0" xfId="1" applyFont="1" applyAlignment="1">
      <alignment horizontal="left" vertical="center"/>
    </xf>
    <xf numFmtId="0" fontId="37" fillId="0" borderId="0" xfId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0" fontId="18" fillId="12" borderId="0" xfId="1" applyFont="1" applyFill="1" applyAlignment="1">
      <alignment horizontal="center" vertical="center"/>
    </xf>
    <xf numFmtId="0" fontId="18" fillId="12" borderId="0" xfId="1" applyFont="1" applyFill="1" applyAlignment="1">
      <alignment vertical="center"/>
    </xf>
    <xf numFmtId="0" fontId="18" fillId="12" borderId="0" xfId="1" quotePrefix="1" applyFont="1" applyFill="1" applyAlignment="1">
      <alignment horizontal="center" vertical="center"/>
    </xf>
    <xf numFmtId="164" fontId="7" fillId="12" borderId="0" xfId="1" applyNumberFormat="1" applyFont="1" applyFill="1" applyAlignment="1">
      <alignment horizontal="center" vertical="center"/>
    </xf>
    <xf numFmtId="0" fontId="1" fillId="12" borderId="0" xfId="1" applyFont="1" applyFill="1" applyAlignment="1">
      <alignment horizontal="center" vertical="center"/>
    </xf>
    <xf numFmtId="0" fontId="1" fillId="12" borderId="0" xfId="1" applyFont="1" applyFill="1" applyAlignment="1">
      <alignment vertical="center"/>
    </xf>
    <xf numFmtId="164" fontId="1" fillId="12" borderId="0" xfId="1" applyNumberFormat="1" applyFont="1" applyFill="1" applyAlignment="1">
      <alignment horizontal="center" vertical="center"/>
    </xf>
    <xf numFmtId="16" fontId="1" fillId="0" borderId="0" xfId="1" applyNumberFormat="1" applyFont="1" applyAlignment="1">
      <alignment horizontal="center" vertical="center"/>
    </xf>
    <xf numFmtId="0" fontId="37" fillId="8" borderId="0" xfId="1" applyFont="1" applyFill="1" applyAlignment="1">
      <alignment vertical="center"/>
    </xf>
    <xf numFmtId="0" fontId="7" fillId="8" borderId="0" xfId="1" applyFont="1" applyFill="1" applyAlignment="1">
      <alignment vertical="center"/>
    </xf>
    <xf numFmtId="0" fontId="39" fillId="0" borderId="0" xfId="0" applyFont="1" applyAlignment="1">
      <alignment vertical="center"/>
    </xf>
    <xf numFmtId="2" fontId="0" fillId="0" borderId="46" xfId="0" applyNumberForma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4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1" xfId="0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19" fillId="12" borderId="0" xfId="1" applyFont="1" applyFill="1" applyAlignment="1">
      <alignment horizontal="center" vertical="center"/>
    </xf>
    <xf numFmtId="166" fontId="23" fillId="0" borderId="42" xfId="0" applyNumberFormat="1" applyFont="1" applyBorder="1" applyAlignment="1">
      <alignment horizontal="center" vertical="center"/>
    </xf>
    <xf numFmtId="0" fontId="3" fillId="9" borderId="0" xfId="0" applyFont="1" applyFill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2" fontId="3" fillId="0" borderId="29" xfId="0" applyNumberFormat="1" applyFont="1" applyBorder="1" applyAlignment="1" applyProtection="1">
      <alignment vertical="center"/>
      <protection locked="0"/>
    </xf>
    <xf numFmtId="2" fontId="1" fillId="0" borderId="7" xfId="0" applyNumberFormat="1" applyFont="1" applyBorder="1" applyAlignment="1" applyProtection="1">
      <alignment vertical="center"/>
      <protection locked="0"/>
    </xf>
    <xf numFmtId="0" fontId="34" fillId="9" borderId="0" xfId="0" applyFont="1" applyFill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2" fontId="3" fillId="0" borderId="7" xfId="0" applyNumberFormat="1" applyFont="1" applyBorder="1" applyAlignment="1" applyProtection="1">
      <alignment vertical="center"/>
      <protection locked="0"/>
    </xf>
    <xf numFmtId="0" fontId="0" fillId="0" borderId="48" xfId="0" applyBorder="1" applyAlignment="1">
      <alignment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8" xfId="0" applyBorder="1"/>
    <xf numFmtId="0" fontId="34" fillId="9" borderId="8" xfId="0" applyFont="1" applyFill="1" applyBorder="1" applyAlignment="1">
      <alignment vertical="center"/>
    </xf>
    <xf numFmtId="0" fontId="0" fillId="0" borderId="27" xfId="0" applyBorder="1"/>
    <xf numFmtId="14" fontId="0" fillId="11" borderId="0" xfId="0" applyNumberFormat="1" applyFill="1" applyAlignment="1">
      <alignment horizontal="left"/>
    </xf>
    <xf numFmtId="0" fontId="0" fillId="11" borderId="0" xfId="0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3" fillId="11" borderId="1" xfId="0" applyNumberFormat="1" applyFont="1" applyFill="1" applyBorder="1" applyAlignment="1" applyProtection="1">
      <alignment horizontal="center" vertical="center"/>
      <protection locked="0"/>
    </xf>
    <xf numFmtId="49" fontId="3" fillId="11" borderId="4" xfId="0" applyNumberFormat="1" applyFont="1" applyFill="1" applyBorder="1" applyAlignment="1" applyProtection="1">
      <alignment horizontal="center" vertical="center"/>
      <protection locked="0"/>
    </xf>
    <xf numFmtId="49" fontId="3" fillId="11" borderId="46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46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164" fontId="28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28" fillId="4" borderId="4" xfId="0" applyNumberFormat="1" applyFont="1" applyFill="1" applyBorder="1" applyAlignment="1" applyProtection="1">
      <alignment horizontal="center" vertical="center"/>
      <protection locked="0"/>
    </xf>
    <xf numFmtId="164" fontId="28" fillId="4" borderId="4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29" fillId="13" borderId="1" xfId="0" quotePrefix="1" applyFont="1" applyFill="1" applyBorder="1" applyAlignment="1" applyProtection="1">
      <alignment horizontal="center" vertical="center"/>
      <protection locked="0"/>
    </xf>
    <xf numFmtId="0" fontId="29" fillId="13" borderId="4" xfId="0" applyFont="1" applyFill="1" applyBorder="1" applyAlignment="1" applyProtection="1">
      <alignment horizontal="center" vertical="center"/>
      <protection locked="0"/>
    </xf>
    <xf numFmtId="0" fontId="29" fillId="13" borderId="46" xfId="0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5" fillId="9" borderId="0" xfId="0" applyFont="1" applyFill="1" applyAlignment="1" applyProtection="1">
      <alignment horizontal="center" vertical="center"/>
      <protection locked="0"/>
    </xf>
    <xf numFmtId="169" fontId="3" fillId="9" borderId="1" xfId="0" applyNumberFormat="1" applyFont="1" applyFill="1" applyBorder="1" applyAlignment="1">
      <alignment horizontal="center" vertical="center"/>
    </xf>
    <xf numFmtId="169" fontId="3" fillId="9" borderId="4" xfId="0" applyNumberFormat="1" applyFont="1" applyFill="1" applyBorder="1" applyAlignment="1">
      <alignment horizontal="center" vertical="center"/>
    </xf>
    <xf numFmtId="169" fontId="3" fillId="9" borderId="46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vertical="center"/>
      <protection locked="0"/>
    </xf>
    <xf numFmtId="49" fontId="3" fillId="4" borderId="4" xfId="0" applyNumberFormat="1" applyFont="1" applyFill="1" applyBorder="1" applyAlignment="1" applyProtection="1">
      <alignment vertical="center"/>
      <protection locked="0"/>
    </xf>
    <xf numFmtId="49" fontId="3" fillId="4" borderId="46" xfId="0" applyNumberFormat="1" applyFont="1" applyFill="1" applyBorder="1" applyAlignment="1" applyProtection="1">
      <alignment vertical="center"/>
      <protection locked="0"/>
    </xf>
    <xf numFmtId="49" fontId="3" fillId="11" borderId="1" xfId="0" applyNumberFormat="1" applyFont="1" applyFill="1" applyBorder="1" applyAlignment="1" applyProtection="1">
      <alignment vertical="center"/>
      <protection locked="0"/>
    </xf>
    <xf numFmtId="49" fontId="3" fillId="11" borderId="4" xfId="0" applyNumberFormat="1" applyFont="1" applyFill="1" applyBorder="1" applyAlignment="1" applyProtection="1">
      <alignment vertical="center"/>
      <protection locked="0"/>
    </xf>
    <xf numFmtId="49" fontId="3" fillId="11" borderId="46" xfId="0" applyNumberFormat="1" applyFont="1" applyFill="1" applyBorder="1" applyAlignment="1" applyProtection="1">
      <alignment vertical="center"/>
      <protection locked="0"/>
    </xf>
    <xf numFmtId="49" fontId="3" fillId="11" borderId="24" xfId="0" applyNumberFormat="1" applyFont="1" applyFill="1" applyBorder="1" applyAlignment="1" applyProtection="1">
      <alignment vertical="center"/>
      <protection locked="0"/>
    </xf>
    <xf numFmtId="49" fontId="3" fillId="11" borderId="55" xfId="0" applyNumberFormat="1" applyFont="1" applyFill="1" applyBorder="1" applyAlignment="1" applyProtection="1">
      <alignment vertical="center"/>
      <protection locked="0"/>
    </xf>
    <xf numFmtId="0" fontId="3" fillId="11" borderId="10" xfId="0" applyFont="1" applyFill="1" applyBorder="1" applyAlignment="1" applyProtection="1">
      <alignment vertical="center"/>
      <protection locked="0"/>
    </xf>
    <xf numFmtId="0" fontId="3" fillId="11" borderId="47" xfId="0" applyFont="1" applyFill="1" applyBorder="1" applyAlignment="1" applyProtection="1">
      <alignment vertical="center"/>
      <protection locked="0"/>
    </xf>
    <xf numFmtId="0" fontId="3" fillId="11" borderId="57" xfId="0" applyFont="1" applyFill="1" applyBorder="1" applyAlignment="1" applyProtection="1">
      <alignment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28" fillId="4" borderId="1" xfId="0" quotePrefix="1" applyNumberFormat="1" applyFont="1" applyFill="1" applyBorder="1" applyAlignment="1" applyProtection="1">
      <alignment horizontal="center" vertical="center"/>
      <protection locked="0"/>
    </xf>
    <xf numFmtId="2" fontId="28" fillId="4" borderId="4" xfId="0" applyNumberFormat="1" applyFont="1" applyFill="1" applyBorder="1" applyAlignment="1" applyProtection="1">
      <alignment horizontal="center" vertical="center"/>
      <protection locked="0"/>
    </xf>
    <xf numFmtId="2" fontId="28" fillId="4" borderId="46" xfId="0" applyNumberFormat="1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173" fontId="28" fillId="4" borderId="1" xfId="0" quotePrefix="1" applyNumberFormat="1" applyFont="1" applyFill="1" applyBorder="1" applyAlignment="1" applyProtection="1">
      <alignment horizontal="center" vertical="center"/>
      <protection locked="0"/>
    </xf>
    <xf numFmtId="173" fontId="28" fillId="4" borderId="4" xfId="0" applyNumberFormat="1" applyFont="1" applyFill="1" applyBorder="1" applyAlignment="1" applyProtection="1">
      <alignment horizontal="center" vertical="center"/>
      <protection locked="0"/>
    </xf>
    <xf numFmtId="173" fontId="28" fillId="4" borderId="46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3" borderId="62" xfId="0" applyNumberForma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49" fontId="3" fillId="2" borderId="48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1" fontId="27" fillId="0" borderId="0" xfId="0" quotePrefix="1" applyNumberFormat="1" applyFont="1" applyAlignment="1">
      <alignment horizontal="center" vertical="center"/>
    </xf>
    <xf numFmtId="175" fontId="27" fillId="0" borderId="68" xfId="0" applyNumberFormat="1" applyFont="1" applyBorder="1" applyAlignment="1">
      <alignment horizontal="center" vertical="center"/>
    </xf>
    <xf numFmtId="175" fontId="27" fillId="0" borderId="69" xfId="0" applyNumberFormat="1" applyFont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64" fontId="3" fillId="11" borderId="4" xfId="0" applyNumberFormat="1" applyFont="1" applyFill="1" applyBorder="1" applyAlignment="1">
      <alignment horizontal="center" vertical="center"/>
    </xf>
    <xf numFmtId="164" fontId="3" fillId="11" borderId="46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46" xfId="0" applyNumberFormat="1" applyFont="1" applyBorder="1" applyAlignment="1">
      <alignment horizontal="center" vertical="center"/>
    </xf>
    <xf numFmtId="1" fontId="3" fillId="9" borderId="1" xfId="0" applyNumberFormat="1" applyFont="1" applyFill="1" applyBorder="1" applyAlignment="1" applyProtection="1">
      <alignment horizontal="center" vertical="center"/>
      <protection locked="0"/>
    </xf>
    <xf numFmtId="1" fontId="3" fillId="9" borderId="4" xfId="0" applyNumberFormat="1" applyFont="1" applyFill="1" applyBorder="1" applyAlignment="1" applyProtection="1">
      <alignment horizontal="center" vertical="center"/>
      <protection locked="0"/>
    </xf>
    <xf numFmtId="1" fontId="3" fillId="9" borderId="46" xfId="0" applyNumberFormat="1" applyFont="1" applyFill="1" applyBorder="1" applyAlignment="1" applyProtection="1">
      <alignment horizontal="center" vertical="center"/>
      <protection locked="0"/>
    </xf>
    <xf numFmtId="0" fontId="25" fillId="0" borderId="40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172" fontId="27" fillId="0" borderId="0" xfId="0" quotePrefix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2" fontId="21" fillId="7" borderId="0" xfId="0" quotePrefix="1" applyNumberFormat="1" applyFont="1" applyFill="1" applyAlignment="1" applyProtection="1">
      <alignment horizontal="center" vertical="center"/>
      <protection locked="0"/>
    </xf>
    <xf numFmtId="166" fontId="21" fillId="7" borderId="0" xfId="0" applyNumberFormat="1" applyFont="1" applyFill="1" applyAlignment="1" applyProtection="1">
      <alignment horizontal="center" vertical="center"/>
      <protection locked="0"/>
    </xf>
    <xf numFmtId="0" fontId="18" fillId="7" borderId="0" xfId="0" applyFont="1" applyFill="1" applyAlignment="1" applyProtection="1">
      <alignment horizontal="left" vertical="center"/>
      <protection locked="0"/>
    </xf>
    <xf numFmtId="0" fontId="21" fillId="7" borderId="0" xfId="0" applyFont="1" applyFill="1" applyAlignment="1" applyProtection="1">
      <alignment horizontal="left" vertical="center"/>
      <protection locked="0"/>
    </xf>
    <xf numFmtId="0" fontId="19" fillId="0" borderId="0" xfId="1" applyFont="1" applyAlignment="1">
      <alignment horizontal="left" vertical="center"/>
    </xf>
    <xf numFmtId="0" fontId="3" fillId="9" borderId="7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11" borderId="0" xfId="0" applyFont="1" applyFill="1" applyAlignment="1" applyProtection="1">
      <alignment horizontal="center" vertical="center"/>
      <protection locked="0"/>
    </xf>
    <xf numFmtId="14" fontId="3" fillId="11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6" xfId="0" applyBorder="1" applyAlignment="1">
      <alignment vertical="center"/>
    </xf>
    <xf numFmtId="0" fontId="5" fillId="9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2" fontId="13" fillId="11" borderId="0" xfId="0" applyNumberFormat="1" applyFont="1" applyFill="1" applyAlignment="1" applyProtection="1">
      <alignment horizontal="left" vertical="center"/>
      <protection locked="0"/>
    </xf>
    <xf numFmtId="0" fontId="34" fillId="11" borderId="43" xfId="0" applyFont="1" applyFill="1" applyBorder="1" applyAlignment="1">
      <alignment horizontal="center" vertical="center"/>
    </xf>
    <xf numFmtId="0" fontId="34" fillId="11" borderId="44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0" fontId="34" fillId="11" borderId="0" xfId="0" applyFont="1" applyFill="1" applyAlignment="1" applyProtection="1">
      <alignment horizontal="left" vertical="center"/>
      <protection locked="0"/>
    </xf>
    <xf numFmtId="0" fontId="8" fillId="9" borderId="15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0" fontId="3" fillId="13" borderId="46" xfId="0" applyFont="1" applyFill="1" applyBorder="1" applyAlignment="1" applyProtection="1">
      <alignment horizontal="center" vertical="center"/>
      <protection locked="0"/>
    </xf>
    <xf numFmtId="170" fontId="3" fillId="4" borderId="1" xfId="0" applyNumberFormat="1" applyFont="1" applyFill="1" applyBorder="1" applyAlignment="1" applyProtection="1">
      <alignment horizontal="center" vertical="center"/>
      <protection locked="0"/>
    </xf>
    <xf numFmtId="170" fontId="12" fillId="4" borderId="4" xfId="0" applyNumberFormat="1" applyFont="1" applyFill="1" applyBorder="1" applyAlignment="1" applyProtection="1">
      <alignment horizontal="center" vertical="center"/>
      <protection locked="0"/>
    </xf>
    <xf numFmtId="170" fontId="12" fillId="4" borderId="46" xfId="0" applyNumberFormat="1" applyFont="1" applyFill="1" applyBorder="1" applyAlignment="1" applyProtection="1">
      <alignment horizontal="center" vertical="center"/>
      <protection locked="0"/>
    </xf>
    <xf numFmtId="2" fontId="0" fillId="11" borderId="43" xfId="0" applyNumberFormat="1" applyFill="1" applyBorder="1" applyAlignment="1" applyProtection="1">
      <alignment horizontal="center" vertical="center"/>
      <protection locked="0"/>
    </xf>
    <xf numFmtId="2" fontId="0" fillId="11" borderId="45" xfId="0" applyNumberFormat="1" applyFill="1" applyBorder="1" applyAlignment="1" applyProtection="1">
      <alignment horizontal="center" vertical="center"/>
      <protection locked="0"/>
    </xf>
    <xf numFmtId="2" fontId="5" fillId="5" borderId="17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5" borderId="54" xfId="0" applyNumberFormat="1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1" fillId="5" borderId="0" xfId="0" applyNumberFormat="1" applyFont="1" applyFill="1" applyAlignment="1">
      <alignment horizontal="left"/>
    </xf>
    <xf numFmtId="49" fontId="0" fillId="0" borderId="6" xfId="0" applyNumberFormat="1" applyBorder="1" applyAlignment="1">
      <alignment horizontal="left" vertical="center"/>
    </xf>
    <xf numFmtId="49" fontId="0" fillId="0" borderId="4" xfId="0" quotePrefix="1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6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quotePrefix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49" fontId="2" fillId="4" borderId="54" xfId="0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49" fontId="3" fillId="11" borderId="18" xfId="0" applyNumberFormat="1" applyFont="1" applyFill="1" applyBorder="1" applyAlignment="1" applyProtection="1">
      <alignment horizontal="center" vertical="center"/>
      <protection locked="0"/>
    </xf>
    <xf numFmtId="49" fontId="3" fillId="11" borderId="54" xfId="0" applyNumberFormat="1" applyFont="1" applyFill="1" applyBorder="1" applyAlignment="1" applyProtection="1">
      <alignment horizontal="center" vertical="center"/>
      <protection locked="0"/>
    </xf>
    <xf numFmtId="176" fontId="3" fillId="14" borderId="1" xfId="0" applyNumberFormat="1" applyFont="1" applyFill="1" applyBorder="1" applyAlignment="1" applyProtection="1">
      <alignment horizontal="center" vertical="center"/>
      <protection locked="0"/>
    </xf>
    <xf numFmtId="176" fontId="3" fillId="14" borderId="4" xfId="0" applyNumberFormat="1" applyFont="1" applyFill="1" applyBorder="1" applyAlignment="1" applyProtection="1">
      <alignment horizontal="center" vertical="center"/>
      <protection locked="0"/>
    </xf>
    <xf numFmtId="176" fontId="3" fillId="14" borderId="46" xfId="0" applyNumberFormat="1" applyFont="1" applyFill="1" applyBorder="1" applyAlignment="1" applyProtection="1">
      <alignment horizontal="center" vertical="center"/>
      <protection locked="0"/>
    </xf>
    <xf numFmtId="176" fontId="3" fillId="9" borderId="1" xfId="0" applyNumberFormat="1" applyFont="1" applyFill="1" applyBorder="1" applyAlignment="1" applyProtection="1">
      <alignment horizontal="center" vertical="center"/>
      <protection locked="0"/>
    </xf>
    <xf numFmtId="176" fontId="12" fillId="9" borderId="4" xfId="0" applyNumberFormat="1" applyFont="1" applyFill="1" applyBorder="1" applyAlignment="1" applyProtection="1">
      <alignment horizontal="center" vertical="center"/>
      <protection locked="0"/>
    </xf>
    <xf numFmtId="176" fontId="12" fillId="9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49" fontId="37" fillId="0" borderId="0" xfId="1" applyNumberFormat="1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7" fillId="9" borderId="0" xfId="1" applyFont="1" applyFill="1" applyAlignment="1">
      <alignment horizontal="center" vertical="center"/>
    </xf>
    <xf numFmtId="0" fontId="37" fillId="9" borderId="0" xfId="1" applyFont="1" applyFill="1" applyAlignment="1">
      <alignment horizontal="left" vertical="center"/>
    </xf>
    <xf numFmtId="49" fontId="37" fillId="9" borderId="0" xfId="1" applyNumberFormat="1" applyFont="1" applyFill="1" applyAlignment="1">
      <alignment horizontal="center" vertical="center"/>
    </xf>
    <xf numFmtId="0" fontId="7" fillId="9" borderId="0" xfId="1" applyFont="1" applyFill="1" applyAlignment="1">
      <alignment horizontal="center" vertical="center"/>
    </xf>
  </cellXfs>
  <cellStyles count="2">
    <cellStyle name="Standard" xfId="0" builtinId="0"/>
    <cellStyle name="Standard_Rezeptberechnung 2005 allg" xfId="1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5272319023614E-2"/>
          <c:y val="4.4321389588098364E-2"/>
          <c:w val="0.8983053170686669"/>
          <c:h val="0.85318674957089358"/>
        </c:manualLayout>
      </c:layout>
      <c:lineChart>
        <c:grouping val="standard"/>
        <c:varyColors val="0"/>
        <c:ser>
          <c:idx val="2"/>
          <c:order val="0"/>
          <c:tx>
            <c:strRef>
              <c:f>Tabelle2!$A$8</c:f>
              <c:strCache>
                <c:ptCount val="1"/>
                <c:pt idx="0">
                  <c:v>unten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Tabelle2!$C$3:$V$3</c:f>
              <c:numCache>
                <c:formatCode>General</c:formatCode>
                <c:ptCount val="20"/>
                <c:pt idx="0">
                  <c:v>6.3E-2</c:v>
                </c:pt>
                <c:pt idx="2">
                  <c:v>0.13</c:v>
                </c:pt>
                <c:pt idx="4">
                  <c:v>0.25</c:v>
                </c:pt>
                <c:pt idx="6">
                  <c:v>0.5</c:v>
                </c:pt>
                <c:pt idx="8">
                  <c:v>1</c:v>
                </c:pt>
                <c:pt idx="10">
                  <c:v>2</c:v>
                </c:pt>
                <c:pt idx="12">
                  <c:v>4</c:v>
                </c:pt>
                <c:pt idx="13">
                  <c:v>5.6</c:v>
                </c:pt>
                <c:pt idx="14">
                  <c:v>8</c:v>
                </c:pt>
                <c:pt idx="15">
                  <c:v>11.2</c:v>
                </c:pt>
                <c:pt idx="16">
                  <c:v>16</c:v>
                </c:pt>
                <c:pt idx="17">
                  <c:v>22.4</c:v>
                </c:pt>
                <c:pt idx="18">
                  <c:v>31.5</c:v>
                </c:pt>
                <c:pt idx="19">
                  <c:v>45</c:v>
                </c:pt>
              </c:numCache>
            </c:numRef>
          </c:cat>
          <c:val>
            <c:numRef>
              <c:f>Tabelle2!$C$8:$V$8</c:f>
              <c:numCache>
                <c:formatCode>General</c:formatCode>
                <c:ptCount val="20"/>
                <c:pt idx="0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0-4D82-996C-30274CE66957}"/>
            </c:ext>
          </c:extLst>
        </c:ser>
        <c:ser>
          <c:idx val="0"/>
          <c:order val="1"/>
          <c:tx>
            <c:strRef>
              <c:f>Tabelle2!$A$7</c:f>
              <c:strCache>
                <c:ptCount val="1"/>
                <c:pt idx="0">
                  <c:v>Sollkurve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Tabelle2!$C$7:$V$7</c:f>
              <c:numCache>
                <c:formatCode>General</c:formatCode>
                <c:ptCount val="20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 formatCode="0">
                  <c:v>0</c:v>
                </c:pt>
                <c:pt idx="18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0-4D82-996C-30274CE66957}"/>
            </c:ext>
          </c:extLst>
        </c:ser>
        <c:ser>
          <c:idx val="1"/>
          <c:order val="2"/>
          <c:tx>
            <c:strRef>
              <c:f>Tabelle2!$A$9</c:f>
              <c:strCache>
                <c:ptCount val="1"/>
                <c:pt idx="0">
                  <c:v>oben</c:v>
                </c:pt>
              </c:strCache>
            </c:strRef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Tabelle2!$C$9:$V$9</c:f>
              <c:numCache>
                <c:formatCode>General</c:formatCode>
                <c:ptCount val="20"/>
                <c:pt idx="0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0-4D82-996C-30274CE66957}"/>
            </c:ext>
          </c:extLst>
        </c:ser>
        <c:ser>
          <c:idx val="3"/>
          <c:order val="3"/>
          <c:tx>
            <c:strRef>
              <c:f>Tabelle2!$A$5</c:f>
              <c:strCache>
                <c:ptCount val="1"/>
                <c:pt idx="0">
                  <c:v>Toleranz (+)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Tabelle2!$C$5:$U$5</c:f>
              <c:numCache>
                <c:formatCode>General</c:formatCode>
                <c:ptCount val="19"/>
                <c:pt idx="0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 formatCode="0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10-4D82-996C-30274CE66957}"/>
            </c:ext>
          </c:extLst>
        </c:ser>
        <c:ser>
          <c:idx val="4"/>
          <c:order val="4"/>
          <c:tx>
            <c:strRef>
              <c:f>Tabelle2!$A$6</c:f>
              <c:strCache>
                <c:ptCount val="1"/>
                <c:pt idx="0">
                  <c:v>Toleranz (-)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Tabelle2!$C$6:$U$6</c:f>
              <c:numCache>
                <c:formatCode>General</c:formatCode>
                <c:ptCount val="19"/>
                <c:pt idx="0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 formatCode="0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10-4D82-996C-30274CE66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24064"/>
        <c:axId val="1"/>
      </c:lineChart>
      <c:catAx>
        <c:axId val="265124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51240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trlProps/ctrlProp1.xml><?xml version="1.0" encoding="utf-8"?>
<formControlPr xmlns="http://schemas.microsoft.com/office/spreadsheetml/2009/9/main" objectType="Drop" dropLines="59" dropStyle="combo" dx="22" fmlaLink="$T$7" fmlaRange="Tabelle2!$B$13:$B$74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55</xdr:row>
      <xdr:rowOff>28575</xdr:rowOff>
    </xdr:from>
    <xdr:to>
      <xdr:col>17</xdr:col>
      <xdr:colOff>514350</xdr:colOff>
      <xdr:row>69</xdr:row>
      <xdr:rowOff>114300</xdr:rowOff>
    </xdr:to>
    <xdr:graphicFrame macro="">
      <xdr:nvGraphicFramePr>
        <xdr:cNvPr id="1716" name="Chart 78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15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717" name="Line 10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ShapeType="1"/>
        </xdr:cNvSpPr>
      </xdr:nvSpPr>
      <xdr:spPr bwMode="auto">
        <a:xfrm>
          <a:off x="14697075" y="3743325"/>
          <a:ext cx="0" cy="51435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22860</xdr:colOff>
      <xdr:row>10</xdr:row>
      <xdr:rowOff>129540</xdr:rowOff>
    </xdr:from>
    <xdr:to>
      <xdr:col>27</xdr:col>
      <xdr:colOff>377376</xdr:colOff>
      <xdr:row>12</xdr:row>
      <xdr:rowOff>22860</xdr:rowOff>
    </xdr:to>
    <xdr:sp macro="" textlink="">
      <xdr:nvSpPr>
        <xdr:cNvPr id="1132" name="Rectangl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49640" y="6614160"/>
          <a:ext cx="7848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2004" rIns="27432" bIns="32004" anchor="ctr" upright="1"/>
        <a:lstStyle/>
        <a:p>
          <a:pPr algn="ctr" rtl="0">
            <a:lnSpc>
              <a:spcPts val="800"/>
            </a:lnSpc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 Narrow"/>
            </a:rPr>
            <a:t>1. Rekapitulation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469900</xdr:colOff>
          <xdr:row>0</xdr:row>
          <xdr:rowOff>273050</xdr:rowOff>
        </xdr:from>
        <xdr:to>
          <xdr:col>22</xdr:col>
          <xdr:colOff>241300</xdr:colOff>
          <xdr:row>1</xdr:row>
          <xdr:rowOff>107950</xdr:rowOff>
        </xdr:to>
        <xdr:sp macro="" textlink="">
          <xdr:nvSpPr>
            <xdr:cNvPr id="1362" name="Drop Down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20</xdr:col>
      <xdr:colOff>767239</xdr:colOff>
      <xdr:row>0</xdr:row>
      <xdr:rowOff>28576</xdr:rowOff>
    </xdr:from>
    <xdr:to>
      <xdr:col>23</xdr:col>
      <xdr:colOff>88582</xdr:colOff>
      <xdr:row>0</xdr:row>
      <xdr:rowOff>262891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11264" y="28576"/>
          <a:ext cx="1178718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1">
              <a:latin typeface="Arial" panose="020B0604020202020204" pitchFamily="34" charset="0"/>
              <a:cs typeface="Arial" panose="020B0604020202020204" pitchFamily="34" charset="0"/>
            </a:rPr>
            <a:t>Belagsorten</a:t>
          </a:r>
        </a:p>
      </xdr:txBody>
    </xdr:sp>
    <xdr:clientData/>
  </xdr:twoCellAnchor>
  <xdr:twoCellAnchor editAs="oneCell">
    <xdr:from>
      <xdr:col>0</xdr:col>
      <xdr:colOff>0</xdr:colOff>
      <xdr:row>0</xdr:row>
      <xdr:rowOff>97117</xdr:rowOff>
    </xdr:from>
    <xdr:to>
      <xdr:col>17</xdr:col>
      <xdr:colOff>440764</xdr:colOff>
      <xdr:row>1</xdr:row>
      <xdr:rowOff>171664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17"/>
          <a:ext cx="8344646" cy="500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295275</xdr:colOff>
          <xdr:row>217</xdr:row>
          <xdr:rowOff>161925</xdr:rowOff>
        </xdr:from>
        <xdr:to>
          <xdr:col>62</xdr:col>
          <xdr:colOff>190500</xdr:colOff>
          <xdr:row>238</xdr:row>
          <xdr:rowOff>85725</xdr:rowOff>
        </xdr:to>
        <xdr:pic>
          <xdr:nvPicPr>
            <xdr:cNvPr id="2214" name="Grafik 1">
              <a:extLs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15:$W$275" spid="_x0000_s22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374850" y="35442525"/>
              <a:ext cx="4505325" cy="41052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79</xdr:row>
      <xdr:rowOff>91228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A7C8BE8-3BE4-DDE2-43B3-4F91FC41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24950" cy="12632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Z149"/>
  <sheetViews>
    <sheetView showGridLines="0" showZeros="0" tabSelected="1" showWhiteSpace="0" zoomScaleNormal="100" workbookViewId="0">
      <selection activeCell="Q37" sqref="Q37"/>
    </sheetView>
  </sheetViews>
  <sheetFormatPr baseColWidth="10" defaultRowHeight="12.5" x14ac:dyDescent="0.25"/>
  <cols>
    <col min="1" max="1" width="7.36328125" style="2" customWidth="1"/>
    <col min="2" max="2" width="6.36328125" customWidth="1"/>
    <col min="3" max="3" width="16.1796875" customWidth="1"/>
    <col min="4" max="4" width="7.453125" style="3" customWidth="1"/>
    <col min="5" max="5" width="5.90625" style="3" customWidth="1"/>
    <col min="6" max="6" width="6.54296875" style="3" customWidth="1"/>
    <col min="7" max="7" width="8.453125" customWidth="1"/>
    <col min="8" max="8" width="5.453125" style="1" customWidth="1"/>
    <col min="9" max="9" width="6" customWidth="1"/>
    <col min="10" max="10" width="2.453125" customWidth="1"/>
    <col min="11" max="11" width="6.453125" customWidth="1"/>
    <col min="12" max="12" width="5.36328125" customWidth="1"/>
    <col min="13" max="13" width="7" customWidth="1"/>
    <col min="14" max="14" width="4.08984375" style="1" customWidth="1"/>
    <col min="15" max="15" width="7.54296875" customWidth="1"/>
    <col min="16" max="16" width="3" customWidth="1"/>
    <col min="17" max="17" width="7.6328125" customWidth="1"/>
    <col min="18" max="18" width="11.453125" customWidth="1"/>
    <col min="19" max="19" width="13.08984375" customWidth="1"/>
    <col min="20" max="20" width="6" style="1" customWidth="1"/>
    <col min="21" max="21" width="12.453125" customWidth="1"/>
    <col min="22" max="22" width="11.36328125" customWidth="1"/>
    <col min="23" max="23" width="4.08984375" customWidth="1"/>
    <col min="24" max="24" width="15.36328125" customWidth="1"/>
    <col min="27" max="27" width="12.54296875" customWidth="1"/>
    <col min="28" max="28" width="10.453125" customWidth="1"/>
    <col min="29" max="29" width="11.6328125" customWidth="1"/>
    <col min="30" max="30" width="15.36328125" customWidth="1"/>
  </cols>
  <sheetData>
    <row r="1" spans="1:31" ht="33.75" customHeight="1" x14ac:dyDescent="0.4">
      <c r="G1" s="22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227"/>
      <c r="T1" s="185">
        <v>1</v>
      </c>
      <c r="U1" s="230"/>
      <c r="V1" s="230"/>
      <c r="W1" s="230"/>
      <c r="X1" s="230"/>
      <c r="Y1" s="203"/>
      <c r="Z1" s="203"/>
      <c r="AA1" s="203"/>
      <c r="AB1" s="203"/>
      <c r="AC1" s="203"/>
      <c r="AD1" s="203"/>
      <c r="AE1" s="194">
        <v>1</v>
      </c>
    </row>
    <row r="2" spans="1:31" ht="16.5" customHeight="1" x14ac:dyDescent="0.35">
      <c r="G2" s="51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T2" s="201">
        <v>1</v>
      </c>
      <c r="U2" s="230"/>
      <c r="V2" s="230"/>
      <c r="W2" s="230"/>
      <c r="X2" s="230"/>
      <c r="Y2" s="203"/>
      <c r="Z2" s="203"/>
      <c r="AA2" s="203"/>
      <c r="AB2" s="203"/>
      <c r="AC2" s="203"/>
      <c r="AD2" s="203"/>
      <c r="AE2" s="194">
        <v>1</v>
      </c>
    </row>
    <row r="3" spans="1:31" ht="16.25" customHeight="1" x14ac:dyDescent="0.4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52"/>
      <c r="M3" s="52"/>
      <c r="N3" s="291"/>
      <c r="O3" s="52"/>
      <c r="P3" s="52"/>
      <c r="Q3" s="52"/>
      <c r="R3" s="52"/>
      <c r="S3" s="52"/>
      <c r="T3" s="201">
        <v>1</v>
      </c>
      <c r="U3" s="230"/>
      <c r="V3" s="230"/>
      <c r="W3" s="230"/>
      <c r="X3" s="230"/>
      <c r="Y3" s="203"/>
      <c r="Z3" s="203"/>
      <c r="AA3" s="203"/>
      <c r="AB3" s="203"/>
      <c r="AC3" s="203"/>
      <c r="AD3" s="203"/>
      <c r="AE3" s="194">
        <v>1</v>
      </c>
    </row>
    <row r="4" spans="1:31" ht="50.25" customHeight="1" x14ac:dyDescent="0.25">
      <c r="T4" s="201">
        <v>1</v>
      </c>
      <c r="Y4" s="203"/>
      <c r="Z4" s="203"/>
      <c r="AA4" s="203"/>
      <c r="AB4" s="203"/>
      <c r="AC4" s="203"/>
      <c r="AD4" s="203"/>
      <c r="AE4" s="194">
        <v>1</v>
      </c>
    </row>
    <row r="5" spans="1:31" ht="21" customHeight="1" x14ac:dyDescent="0.4">
      <c r="A5" s="449" t="s">
        <v>80</v>
      </c>
      <c r="B5" s="449"/>
      <c r="C5" s="449"/>
      <c r="D5" s="423"/>
      <c r="E5" s="423"/>
      <c r="F5" s="423"/>
      <c r="G5" s="423"/>
      <c r="H5" s="423"/>
      <c r="I5" s="423"/>
      <c r="J5" s="423"/>
      <c r="K5" s="423"/>
      <c r="M5" s="55" t="s">
        <v>77</v>
      </c>
      <c r="N5" s="427"/>
      <c r="O5" s="427"/>
      <c r="P5" s="427"/>
      <c r="Q5" s="427"/>
      <c r="R5" s="427"/>
      <c r="T5" s="201">
        <v>1</v>
      </c>
      <c r="U5" s="203"/>
      <c r="V5" s="203"/>
      <c r="W5" s="203"/>
      <c r="X5" s="231"/>
      <c r="Y5" s="203"/>
      <c r="Z5" s="203"/>
      <c r="AA5" s="203"/>
      <c r="AB5" s="203"/>
      <c r="AC5" s="203"/>
      <c r="AD5" s="203"/>
      <c r="AE5" s="194">
        <v>1</v>
      </c>
    </row>
    <row r="6" spans="1:31" ht="22.65" customHeight="1" thickBot="1" x14ac:dyDescent="0.55000000000000004">
      <c r="E6" s="56"/>
      <c r="I6" s="57"/>
      <c r="J6" s="57"/>
      <c r="K6" s="58"/>
      <c r="M6" s="59"/>
      <c r="N6" s="428"/>
      <c r="O6" s="428"/>
      <c r="P6" s="428"/>
      <c r="Q6" s="428"/>
      <c r="R6" s="428"/>
      <c r="T6" s="201">
        <v>1</v>
      </c>
      <c r="U6" s="203"/>
      <c r="V6" s="203"/>
      <c r="W6" s="203"/>
      <c r="X6" s="203"/>
      <c r="Y6" s="203"/>
      <c r="Z6" s="203"/>
      <c r="AA6" s="203"/>
      <c r="AB6" s="205" t="s">
        <v>64</v>
      </c>
      <c r="AC6" s="204"/>
      <c r="AD6" s="203"/>
    </row>
    <row r="7" spans="1:31" ht="26.25" customHeight="1" thickTop="1" thickBot="1" x14ac:dyDescent="0.3">
      <c r="A7" s="129" t="s">
        <v>114</v>
      </c>
      <c r="B7" s="130"/>
      <c r="C7" s="130"/>
      <c r="D7" s="130"/>
      <c r="E7" s="130"/>
      <c r="F7" s="445"/>
      <c r="G7" s="445"/>
      <c r="H7" s="60"/>
      <c r="I7" s="60"/>
      <c r="J7" s="431">
        <f>IF(T7=1,0,VLOOKUP(T7,Tabelle2!A13:B74,2,FALSE))</f>
        <v>0</v>
      </c>
      <c r="K7" s="432"/>
      <c r="L7" s="432"/>
      <c r="M7" s="432"/>
      <c r="N7" s="432"/>
      <c r="O7" s="432"/>
      <c r="P7" s="432"/>
      <c r="Q7" s="432"/>
      <c r="R7" s="433"/>
      <c r="T7" s="202">
        <v>1</v>
      </c>
      <c r="U7" s="203"/>
      <c r="V7" s="203"/>
      <c r="W7" s="203"/>
      <c r="X7" s="203"/>
      <c r="Y7" s="203"/>
      <c r="Z7" s="203"/>
      <c r="AA7" s="203"/>
      <c r="AB7" s="203"/>
      <c r="AC7" s="203"/>
      <c r="AD7" s="203"/>
    </row>
    <row r="8" spans="1:31" ht="13.5" thickTop="1" thickBot="1" x14ac:dyDescent="0.3">
      <c r="T8" s="201">
        <v>1</v>
      </c>
      <c r="U8" s="203"/>
      <c r="V8" s="203"/>
      <c r="W8" s="203"/>
      <c r="X8" s="203"/>
      <c r="Y8" s="203"/>
      <c r="Z8" s="203"/>
      <c r="AA8" s="203"/>
      <c r="AB8" s="203"/>
      <c r="AC8" s="203"/>
      <c r="AD8" s="203"/>
    </row>
    <row r="9" spans="1:31" ht="18" customHeight="1" thickBot="1" x14ac:dyDescent="0.3">
      <c r="A9" s="61" t="s">
        <v>65</v>
      </c>
      <c r="B9" s="62"/>
      <c r="C9" s="62"/>
      <c r="D9" s="442" t="s">
        <v>10</v>
      </c>
      <c r="E9" s="443"/>
      <c r="F9" s="444"/>
      <c r="G9" s="429" t="s">
        <v>11</v>
      </c>
      <c r="H9" s="430"/>
      <c r="I9" s="430"/>
      <c r="J9" s="156"/>
      <c r="K9" s="157"/>
      <c r="L9" s="157"/>
      <c r="M9" s="63"/>
      <c r="N9" s="64"/>
      <c r="O9" s="65" t="s">
        <v>127</v>
      </c>
      <c r="P9" s="461"/>
      <c r="Q9" s="462"/>
      <c r="R9" s="463"/>
      <c r="T9" s="201">
        <v>1</v>
      </c>
      <c r="U9" s="203"/>
      <c r="V9" s="203"/>
      <c r="W9" s="203"/>
      <c r="X9" s="203"/>
      <c r="Y9" s="203"/>
      <c r="Z9" s="203"/>
      <c r="AA9" s="203"/>
      <c r="AB9" s="203"/>
      <c r="AC9" s="203"/>
      <c r="AD9" s="203"/>
    </row>
    <row r="10" spans="1:31" ht="6" customHeight="1" x14ac:dyDescent="0.3">
      <c r="A10" s="66"/>
      <c r="B10" s="52"/>
      <c r="C10" s="52"/>
      <c r="D10" s="67"/>
      <c r="E10"/>
      <c r="F10"/>
      <c r="G10" s="68"/>
      <c r="H10" s="53"/>
      <c r="I10" s="53"/>
      <c r="J10" s="69"/>
      <c r="K10" s="70"/>
      <c r="L10" s="70"/>
      <c r="M10" s="70"/>
      <c r="N10" s="70"/>
      <c r="O10" s="70"/>
      <c r="P10" s="70"/>
      <c r="Q10" s="70"/>
      <c r="R10" s="71"/>
      <c r="AA10" s="15"/>
      <c r="AB10" s="15"/>
      <c r="AC10" s="15"/>
      <c r="AD10" s="15"/>
    </row>
    <row r="11" spans="1:31" s="15" customFormat="1" ht="15" customHeight="1" x14ac:dyDescent="0.25">
      <c r="A11" s="72" t="s">
        <v>74</v>
      </c>
      <c r="B11" s="73"/>
      <c r="C11" s="73"/>
      <c r="D11" s="457"/>
      <c r="E11" s="458"/>
      <c r="F11" s="459"/>
      <c r="G11" s="452"/>
      <c r="H11" s="453"/>
      <c r="I11" s="454"/>
      <c r="J11" s="74"/>
      <c r="K11" s="28"/>
      <c r="L11" s="28"/>
      <c r="M11" s="28"/>
      <c r="N11" s="228"/>
      <c r="O11" s="28"/>
      <c r="P11" s="28"/>
      <c r="Q11" s="28"/>
      <c r="R11" s="75"/>
      <c r="T11" s="276"/>
      <c r="U11" s="276"/>
      <c r="V11" s="276"/>
      <c r="W11" s="276"/>
      <c r="X11" s="276"/>
      <c r="Y11" s="276"/>
      <c r="AA11" s="389" t="s">
        <v>106</v>
      </c>
      <c r="AB11" s="390"/>
    </row>
    <row r="12" spans="1:31" s="15" customFormat="1" ht="15" customHeight="1" x14ac:dyDescent="0.25">
      <c r="A12" s="232" t="s">
        <v>149</v>
      </c>
      <c r="B12" s="76"/>
      <c r="C12" s="76"/>
      <c r="D12" s="316"/>
      <c r="E12" s="317"/>
      <c r="F12" s="318"/>
      <c r="G12" s="466"/>
      <c r="H12" s="467"/>
      <c r="I12" s="468"/>
      <c r="J12" s="79"/>
      <c r="N12" s="31"/>
      <c r="O12" s="31"/>
      <c r="P12" s="31"/>
      <c r="Q12" s="31"/>
      <c r="R12" s="147"/>
      <c r="T12" s="276"/>
      <c r="U12" s="276"/>
      <c r="V12" s="276"/>
      <c r="W12" s="276"/>
      <c r="X12" s="276"/>
      <c r="Y12" s="276"/>
      <c r="AA12" s="403"/>
      <c r="AB12" s="404"/>
    </row>
    <row r="13" spans="1:31" s="15" customFormat="1" ht="15" customHeight="1" x14ac:dyDescent="0.25">
      <c r="A13" s="80" t="s">
        <v>113</v>
      </c>
      <c r="B13" s="76"/>
      <c r="C13" s="76"/>
      <c r="D13" s="395"/>
      <c r="E13" s="396"/>
      <c r="F13" s="397"/>
      <c r="G13" s="77" t="s">
        <v>58</v>
      </c>
      <c r="H13" s="76"/>
      <c r="I13" s="243">
        <f>IF(J7=0,0,VLOOKUP($J$7,Tabelle2!$B$215:$W$275,4,FALSE))</f>
        <v>0</v>
      </c>
      <c r="J13" s="79"/>
      <c r="N13" s="31"/>
      <c r="O13" s="31"/>
      <c r="P13" s="31"/>
      <c r="Q13" s="31"/>
      <c r="R13" s="147"/>
      <c r="T13" s="276"/>
      <c r="U13" s="276"/>
      <c r="V13" s="276"/>
      <c r="W13" s="276"/>
      <c r="X13" s="276"/>
      <c r="Y13" s="276"/>
      <c r="AA13" s="146" t="s">
        <v>97</v>
      </c>
      <c r="AB13" s="144" t="str">
        <f>IF(D13="","?",D13)</f>
        <v>?</v>
      </c>
      <c r="AC13" s="142" t="s">
        <v>102</v>
      </c>
      <c r="AD13" s="141" t="s">
        <v>56</v>
      </c>
    </row>
    <row r="14" spans="1:31" s="15" customFormat="1" ht="10.5" customHeight="1" thickBot="1" x14ac:dyDescent="0.3">
      <c r="A14" s="80"/>
      <c r="B14" s="76"/>
      <c r="C14" s="76"/>
      <c r="D14" s="329"/>
      <c r="E14" s="464"/>
      <c r="F14" s="465"/>
      <c r="G14" s="107"/>
      <c r="H14" s="100"/>
      <c r="I14" s="100"/>
      <c r="J14" s="132"/>
      <c r="K14"/>
      <c r="L14"/>
      <c r="M14"/>
      <c r="N14"/>
      <c r="O14"/>
      <c r="P14"/>
      <c r="Q14"/>
      <c r="R14" s="136"/>
      <c r="T14" s="276"/>
      <c r="U14" s="276"/>
      <c r="V14" s="276"/>
      <c r="W14" s="276"/>
      <c r="X14" s="276"/>
      <c r="Y14" s="276"/>
      <c r="AA14" s="143" t="s">
        <v>105</v>
      </c>
      <c r="AB14" s="144" t="str">
        <f>IF(D45="","?",D45)</f>
        <v>?</v>
      </c>
      <c r="AC14" s="142" t="s">
        <v>103</v>
      </c>
      <c r="AD14" s="141" t="s">
        <v>104</v>
      </c>
    </row>
    <row r="15" spans="1:31" s="15" customFormat="1" ht="15" customHeight="1" thickBot="1" x14ac:dyDescent="0.3">
      <c r="A15" s="179" t="s">
        <v>150</v>
      </c>
      <c r="B15" s="76"/>
      <c r="C15" s="76"/>
      <c r="D15" s="313"/>
      <c r="E15" s="314"/>
      <c r="F15" s="314"/>
      <c r="G15" s="469"/>
      <c r="H15" s="469"/>
      <c r="I15" s="470"/>
      <c r="J15" s="79"/>
      <c r="K15"/>
      <c r="L15"/>
      <c r="M15"/>
      <c r="N15"/>
      <c r="O15"/>
      <c r="P15"/>
      <c r="Q15"/>
      <c r="R15" s="75"/>
      <c r="T15" s="276"/>
      <c r="U15" s="276"/>
      <c r="V15" s="276"/>
      <c r="W15" s="276"/>
      <c r="X15" s="276"/>
      <c r="Y15" s="276"/>
      <c r="AA15" s="145" t="s">
        <v>98</v>
      </c>
      <c r="AB15" s="286">
        <f>IF(X20="","?",X20)</f>
        <v>2.7</v>
      </c>
      <c r="AC15" s="142" t="s">
        <v>101</v>
      </c>
      <c r="AD15" s="141" t="s">
        <v>204</v>
      </c>
    </row>
    <row r="16" spans="1:31" s="15" customFormat="1" ht="10.5" customHeight="1" x14ac:dyDescent="0.25">
      <c r="A16" s="80"/>
      <c r="B16" s="76"/>
      <c r="C16" s="76"/>
      <c r="D16" s="329"/>
      <c r="E16" s="455"/>
      <c r="F16" s="456"/>
      <c r="G16" s="252"/>
      <c r="H16" s="178"/>
      <c r="I16" s="178"/>
      <c r="J16" s="132"/>
      <c r="K16"/>
      <c r="L16"/>
      <c r="M16"/>
      <c r="N16"/>
      <c r="O16"/>
      <c r="P16"/>
      <c r="Q16"/>
      <c r="R16" s="136"/>
      <c r="T16" s="31"/>
      <c r="U16" s="15" t="s">
        <v>64</v>
      </c>
    </row>
    <row r="17" spans="1:30" s="15" customFormat="1" ht="15" customHeight="1" x14ac:dyDescent="0.25">
      <c r="A17" s="72" t="s">
        <v>108</v>
      </c>
      <c r="B17" s="76"/>
      <c r="C17" s="76"/>
      <c r="D17" s="175"/>
      <c r="E17" s="176"/>
      <c r="F17" s="177"/>
      <c r="G17" s="107"/>
      <c r="H17" s="100"/>
      <c r="I17" s="100"/>
      <c r="J17" s="132"/>
      <c r="K17"/>
      <c r="L17"/>
      <c r="M17"/>
      <c r="N17"/>
      <c r="O17"/>
      <c r="P17"/>
      <c r="Q17"/>
      <c r="R17" s="136"/>
      <c r="T17" s="31"/>
    </row>
    <row r="18" spans="1:30" s="15" customFormat="1" ht="15" customHeight="1" x14ac:dyDescent="0.4">
      <c r="A18" s="87" t="s">
        <v>69</v>
      </c>
      <c r="B18" s="76"/>
      <c r="C18" s="200" t="s">
        <v>61</v>
      </c>
      <c r="D18" s="460"/>
      <c r="E18" s="317"/>
      <c r="F18" s="318"/>
      <c r="G18" s="77"/>
      <c r="H18" s="76"/>
      <c r="I18" s="243"/>
      <c r="M18"/>
      <c r="N18"/>
      <c r="O18"/>
      <c r="P18"/>
      <c r="Q18"/>
      <c r="R18" s="136"/>
      <c r="T18" s="31"/>
    </row>
    <row r="19" spans="1:30" s="15" customFormat="1" ht="15" customHeight="1" x14ac:dyDescent="0.4">
      <c r="A19" s="87" t="s">
        <v>69</v>
      </c>
      <c r="B19" s="88"/>
      <c r="C19" s="89" t="s">
        <v>62</v>
      </c>
      <c r="D19" s="316"/>
      <c r="E19" s="317"/>
      <c r="F19" s="318"/>
      <c r="G19" s="77"/>
      <c r="H19" s="76"/>
      <c r="I19" s="243"/>
      <c r="M19"/>
      <c r="N19"/>
      <c r="O19"/>
      <c r="P19"/>
      <c r="Q19"/>
      <c r="R19" s="136"/>
      <c r="T19" s="31"/>
      <c r="AA19" s="405" t="s">
        <v>107</v>
      </c>
      <c r="AB19" s="406"/>
    </row>
    <row r="20" spans="1:30" s="15" customFormat="1" ht="15" customHeight="1" x14ac:dyDescent="0.25">
      <c r="A20" s="179" t="s">
        <v>132</v>
      </c>
      <c r="B20" s="88"/>
      <c r="D20" s="316"/>
      <c r="E20" s="317"/>
      <c r="F20" s="318"/>
      <c r="G20" s="77"/>
      <c r="H20" s="76"/>
      <c r="I20" s="243"/>
      <c r="M20" s="43"/>
      <c r="N20" s="44"/>
      <c r="O20" s="134"/>
      <c r="P20" s="43"/>
      <c r="Q20" s="135"/>
      <c r="R20" s="136"/>
      <c r="T20" s="191" t="s">
        <v>94</v>
      </c>
      <c r="U20" s="138"/>
      <c r="V20" s="138"/>
      <c r="W20" s="409" t="s">
        <v>95</v>
      </c>
      <c r="X20" s="410">
        <v>2.7</v>
      </c>
      <c r="Y20" s="411" t="s">
        <v>203</v>
      </c>
      <c r="Z20" s="412"/>
      <c r="AA20" s="393" t="str">
        <f>IF(OR(D13="",X20=""),"Basisangabe fehlt !",AA21*(100-D45)/100)</f>
        <v>Basisangabe fehlt !</v>
      </c>
      <c r="AB20" s="394"/>
      <c r="AC20" s="142" t="s">
        <v>99</v>
      </c>
      <c r="AD20" s="141" t="s">
        <v>204</v>
      </c>
    </row>
    <row r="21" spans="1:30" s="15" customFormat="1" ht="15" customHeight="1" x14ac:dyDescent="0.25">
      <c r="A21" s="87" t="s">
        <v>70</v>
      </c>
      <c r="B21" s="76"/>
      <c r="C21" s="76"/>
      <c r="D21" s="316"/>
      <c r="E21" s="317"/>
      <c r="F21" s="318"/>
      <c r="G21" s="77"/>
      <c r="H21" s="76"/>
      <c r="I21" s="243"/>
      <c r="M21" s="43" t="s">
        <v>64</v>
      </c>
      <c r="N21" s="44"/>
      <c r="O21" s="134"/>
      <c r="P21" s="43"/>
      <c r="Q21" s="135"/>
      <c r="R21" s="136"/>
      <c r="T21" s="192" t="s">
        <v>93</v>
      </c>
      <c r="U21" s="138"/>
      <c r="V21" s="138"/>
      <c r="W21" s="409"/>
      <c r="X21" s="410"/>
      <c r="Y21" s="412"/>
      <c r="Z21" s="412"/>
      <c r="AA21" s="393" t="str">
        <f>IF(OR(D13="",X20=""),"Basisangabe fehlt !",100/(D13/1.03+((100-D13)/X20)))</f>
        <v>Basisangabe fehlt !</v>
      </c>
      <c r="AB21" s="394"/>
      <c r="AC21" s="142" t="s">
        <v>100</v>
      </c>
      <c r="AD21" s="141" t="s">
        <v>204</v>
      </c>
    </row>
    <row r="22" spans="1:30" s="15" customFormat="1" ht="15" customHeight="1" x14ac:dyDescent="0.25">
      <c r="A22" s="90" t="s">
        <v>126</v>
      </c>
      <c r="B22" s="76"/>
      <c r="C22" s="76"/>
      <c r="D22" s="316"/>
      <c r="E22" s="317"/>
      <c r="F22" s="318"/>
      <c r="G22" s="77"/>
      <c r="H22" s="76"/>
      <c r="I22" s="243"/>
      <c r="M22" s="43"/>
      <c r="N22" s="44"/>
      <c r="O22" s="134"/>
      <c r="P22" s="43"/>
      <c r="Q22" s="135"/>
      <c r="R22" s="136"/>
      <c r="T22" s="31"/>
      <c r="AA22" s="391"/>
      <c r="AB22" s="391"/>
    </row>
    <row r="23" spans="1:30" s="15" customFormat="1" ht="10.5" customHeight="1" x14ac:dyDescent="0.25">
      <c r="A23" s="87"/>
      <c r="B23" s="88"/>
      <c r="C23" s="88"/>
      <c r="D23" s="329"/>
      <c r="E23" s="330"/>
      <c r="F23" s="331"/>
      <c r="G23" s="77"/>
      <c r="H23" s="84"/>
      <c r="I23" s="275"/>
      <c r="J23" s="134"/>
      <c r="K23" s="133"/>
      <c r="L23" s="43"/>
      <c r="M23" s="43"/>
      <c r="N23" s="44"/>
      <c r="O23" s="134"/>
      <c r="P23" s="43"/>
      <c r="Q23" s="135"/>
      <c r="R23" s="136"/>
      <c r="T23" s="31"/>
      <c r="AA23" s="392"/>
      <c r="AB23" s="392"/>
      <c r="AC23" s="142"/>
      <c r="AD23" s="141"/>
    </row>
    <row r="24" spans="1:30" s="15" customFormat="1" ht="15" customHeight="1" thickBot="1" x14ac:dyDescent="0.3">
      <c r="A24" s="72" t="s">
        <v>67</v>
      </c>
      <c r="B24" s="88"/>
      <c r="C24" s="88"/>
      <c r="D24" s="329"/>
      <c r="E24" s="330"/>
      <c r="F24" s="331"/>
      <c r="G24" s="244"/>
      <c r="H24" s="245"/>
      <c r="I24" s="246"/>
      <c r="J24" s="132"/>
      <c r="K24" s="133"/>
      <c r="L24" s="43"/>
      <c r="M24" s="43"/>
      <c r="N24" s="44"/>
      <c r="O24" s="134"/>
      <c r="P24" s="43"/>
      <c r="Q24" s="135" t="s">
        <v>64</v>
      </c>
      <c r="R24" s="136"/>
      <c r="T24" s="31"/>
      <c r="AA24" s="407"/>
      <c r="AB24" s="407"/>
      <c r="AC24" s="142"/>
      <c r="AD24" s="141"/>
    </row>
    <row r="25" spans="1:30" s="15" customFormat="1" ht="15" customHeight="1" x14ac:dyDescent="0.25">
      <c r="A25" s="90" t="s">
        <v>12</v>
      </c>
      <c r="B25" s="91"/>
      <c r="C25" s="91"/>
      <c r="D25" s="345"/>
      <c r="E25" s="346"/>
      <c r="F25" s="346"/>
      <c r="G25" s="346"/>
      <c r="H25" s="346"/>
      <c r="I25" s="347"/>
      <c r="J25" s="132"/>
      <c r="K25" s="133"/>
      <c r="L25" s="43"/>
      <c r="M25" s="43"/>
      <c r="N25" s="44"/>
      <c r="O25" s="134"/>
      <c r="P25" s="43"/>
      <c r="Q25" s="135"/>
      <c r="R25" s="136"/>
      <c r="T25" s="31"/>
      <c r="V25" s="274" t="s">
        <v>190</v>
      </c>
    </row>
    <row r="26" spans="1:30" s="15" customFormat="1" ht="15" customHeight="1" x14ac:dyDescent="0.25">
      <c r="A26" s="233" t="s">
        <v>151</v>
      </c>
      <c r="B26" s="91"/>
      <c r="C26" s="91"/>
      <c r="D26" s="337"/>
      <c r="E26" s="338"/>
      <c r="F26" s="338"/>
      <c r="G26" s="338"/>
      <c r="H26" s="338"/>
      <c r="I26" s="339"/>
      <c r="J26" s="132"/>
      <c r="K26" s="133"/>
      <c r="L26" s="43"/>
      <c r="M26" s="43"/>
      <c r="N26" s="44"/>
      <c r="O26" s="134"/>
      <c r="P26" s="43"/>
      <c r="Q26" s="135"/>
      <c r="R26" s="136"/>
      <c r="T26" s="31"/>
      <c r="V26" s="274" t="s">
        <v>191</v>
      </c>
    </row>
    <row r="27" spans="1:30" s="15" customFormat="1" ht="15" customHeight="1" x14ac:dyDescent="0.25">
      <c r="A27" s="90" t="s">
        <v>13</v>
      </c>
      <c r="B27" s="88"/>
      <c r="C27" s="88"/>
      <c r="D27" s="340"/>
      <c r="E27" s="341"/>
      <c r="F27" s="341"/>
      <c r="G27" s="341"/>
      <c r="H27" s="341"/>
      <c r="I27" s="342"/>
      <c r="J27" s="132"/>
      <c r="Q27" s="229" t="s">
        <v>133</v>
      </c>
      <c r="R27" s="140"/>
      <c r="S27" s="139"/>
      <c r="T27" s="31"/>
      <c r="V27" s="274" t="s">
        <v>192</v>
      </c>
    </row>
    <row r="28" spans="1:30" s="15" customFormat="1" ht="15" customHeight="1" thickBot="1" x14ac:dyDescent="0.3">
      <c r="A28" s="90" t="s">
        <v>14</v>
      </c>
      <c r="B28" s="76"/>
      <c r="C28" s="76"/>
      <c r="D28" s="340"/>
      <c r="E28" s="341"/>
      <c r="F28" s="341"/>
      <c r="G28" s="343"/>
      <c r="H28" s="343"/>
      <c r="I28" s="344"/>
      <c r="J28" s="132"/>
      <c r="K28" s="207" t="s">
        <v>219</v>
      </c>
      <c r="L28" s="208"/>
      <c r="M28" s="208"/>
      <c r="N28" s="208"/>
      <c r="O28" s="208"/>
      <c r="P28" s="110"/>
      <c r="Q28" s="424"/>
      <c r="R28" s="136"/>
      <c r="T28" s="31"/>
    </row>
    <row r="29" spans="1:30" s="15" customFormat="1" ht="15" customHeight="1" x14ac:dyDescent="0.25">
      <c r="A29" s="233" t="s">
        <v>220</v>
      </c>
      <c r="B29" s="76"/>
      <c r="C29" s="76"/>
      <c r="D29" s="334">
        <f>F65</f>
        <v>0</v>
      </c>
      <c r="E29" s="335"/>
      <c r="F29" s="336"/>
      <c r="G29" s="247"/>
      <c r="H29" s="248"/>
      <c r="I29" s="249"/>
      <c r="J29" s="132"/>
      <c r="K29" s="211" t="s">
        <v>144</v>
      </c>
      <c r="L29" s="43"/>
      <c r="M29" s="416"/>
      <c r="N29" s="416"/>
      <c r="O29" s="416"/>
      <c r="P29" s="136"/>
      <c r="Q29" s="425"/>
      <c r="R29" s="136"/>
      <c r="T29" s="31"/>
      <c r="AC29" s="15" t="s">
        <v>131</v>
      </c>
    </row>
    <row r="30" spans="1:30" s="15" customFormat="1" ht="15" customHeight="1" x14ac:dyDescent="0.25">
      <c r="A30" s="90" t="s">
        <v>60</v>
      </c>
      <c r="B30" s="76"/>
      <c r="C30" s="76"/>
      <c r="D30" s="334">
        <f>IF(D29=0,0,100-D29)</f>
        <v>0</v>
      </c>
      <c r="E30" s="335"/>
      <c r="F30" s="336"/>
      <c r="G30" s="77"/>
      <c r="H30" s="84"/>
      <c r="I30" s="84"/>
      <c r="J30" s="132"/>
      <c r="K30" s="209" t="s">
        <v>145</v>
      </c>
      <c r="L30" s="210"/>
      <c r="M30" s="417"/>
      <c r="N30" s="417"/>
      <c r="O30" s="417"/>
      <c r="P30" s="210"/>
      <c r="Q30" s="426"/>
      <c r="R30" s="136"/>
      <c r="T30" s="31"/>
    </row>
    <row r="31" spans="1:30" s="15" customFormat="1" ht="10.5" customHeight="1" x14ac:dyDescent="0.25">
      <c r="A31" s="90"/>
      <c r="B31" s="76"/>
      <c r="C31" s="76"/>
      <c r="D31" s="418"/>
      <c r="E31" s="419"/>
      <c r="F31" s="420"/>
      <c r="G31" s="77"/>
      <c r="H31" s="84"/>
      <c r="I31" s="84"/>
      <c r="J31" s="132"/>
      <c r="K31" s="214"/>
      <c r="L31" s="215"/>
      <c r="M31" s="215"/>
      <c r="N31" s="216"/>
      <c r="O31" s="217"/>
      <c r="P31" s="215"/>
      <c r="Q31" s="440"/>
      <c r="R31" s="136"/>
      <c r="T31" s="31"/>
    </row>
    <row r="32" spans="1:30" s="15" customFormat="1" ht="15" customHeight="1" x14ac:dyDescent="0.25">
      <c r="A32" s="90" t="s">
        <v>18</v>
      </c>
      <c r="B32" s="76"/>
      <c r="C32" s="76"/>
      <c r="D32" s="313"/>
      <c r="E32" s="314"/>
      <c r="F32" s="315"/>
      <c r="G32" s="308">
        <f>IF(J7=0,0,VLOOKUP($J$7,Tabelle2!$B$215:$W$275,5,FALSE))</f>
        <v>0</v>
      </c>
      <c r="H32" s="309"/>
      <c r="I32" s="352"/>
      <c r="J32" s="132"/>
      <c r="K32" s="218" t="s">
        <v>134</v>
      </c>
      <c r="L32" s="206"/>
      <c r="M32" s="206"/>
      <c r="N32" s="206"/>
      <c r="O32" s="206"/>
      <c r="P32" s="206"/>
      <c r="Q32" s="441"/>
      <c r="R32" s="136"/>
      <c r="T32" s="31"/>
    </row>
    <row r="33" spans="1:30" s="15" customFormat="1" ht="7" customHeight="1" x14ac:dyDescent="0.25">
      <c r="A33" s="90"/>
      <c r="B33" s="76"/>
      <c r="C33" s="76"/>
      <c r="D33" s="288"/>
      <c r="E33" s="289"/>
      <c r="F33" s="290"/>
      <c r="G33" s="16"/>
      <c r="H33" s="78"/>
      <c r="I33" s="78"/>
      <c r="J33" s="132"/>
      <c r="K33" s="287"/>
      <c r="L33" s="212"/>
      <c r="M33" s="212"/>
      <c r="N33" s="212"/>
      <c r="O33" s="212"/>
      <c r="P33" s="212"/>
      <c r="Q33" s="134"/>
      <c r="R33" s="136"/>
      <c r="T33" s="31"/>
    </row>
    <row r="34" spans="1:30" s="15" customFormat="1" ht="15" customHeight="1" x14ac:dyDescent="0.25">
      <c r="A34" s="233" t="s">
        <v>223</v>
      </c>
      <c r="B34" s="76"/>
      <c r="C34" s="76"/>
      <c r="D34" s="288"/>
      <c r="E34" s="289"/>
      <c r="F34" s="290"/>
      <c r="G34" s="16"/>
      <c r="H34" s="78"/>
      <c r="I34" s="78"/>
      <c r="J34" s="132"/>
      <c r="K34" s="287"/>
      <c r="L34" s="212"/>
      <c r="M34" s="212"/>
      <c r="N34" s="212"/>
      <c r="O34" s="212"/>
      <c r="P34" s="212"/>
      <c r="Q34" s="134"/>
      <c r="R34" s="136"/>
      <c r="T34" s="31"/>
    </row>
    <row r="35" spans="1:30" s="15" customFormat="1" ht="15" customHeight="1" x14ac:dyDescent="0.25">
      <c r="A35" s="72" t="s">
        <v>218</v>
      </c>
      <c r="B35" s="92"/>
      <c r="C35" s="93" t="s">
        <v>56</v>
      </c>
      <c r="D35" s="400"/>
      <c r="E35" s="401"/>
      <c r="F35" s="402"/>
      <c r="G35" s="16"/>
      <c r="H35" s="78"/>
      <c r="I35" s="78"/>
      <c r="J35" s="137"/>
      <c r="K35" s="135"/>
      <c r="L35" s="43"/>
      <c r="M35" s="43"/>
      <c r="N35" s="44"/>
      <c r="O35" s="43"/>
      <c r="P35" s="43"/>
      <c r="Q35" s="43"/>
      <c r="R35" s="136"/>
      <c r="T35" s="31"/>
      <c r="AD35" s="6"/>
    </row>
    <row r="36" spans="1:30" s="15" customFormat="1" ht="8.25" customHeight="1" x14ac:dyDescent="0.25">
      <c r="A36" s="94"/>
      <c r="B36" s="95"/>
      <c r="C36" s="76"/>
      <c r="D36" s="329"/>
      <c r="E36" s="398"/>
      <c r="F36" s="399"/>
      <c r="G36" s="77"/>
      <c r="H36" s="84"/>
      <c r="I36" s="84"/>
      <c r="J36" s="81"/>
      <c r="K36" s="82"/>
      <c r="N36" s="31"/>
      <c r="Q36" s="43"/>
      <c r="R36" s="75"/>
      <c r="T36" s="31"/>
      <c r="AD36" s="6"/>
    </row>
    <row r="37" spans="1:30" s="15" customFormat="1" ht="15" customHeight="1" x14ac:dyDescent="0.25">
      <c r="A37" s="450" t="s">
        <v>54</v>
      </c>
      <c r="B37" s="451"/>
      <c r="C37" s="451"/>
      <c r="D37" s="329"/>
      <c r="E37" s="398"/>
      <c r="F37" s="399"/>
      <c r="G37" s="308"/>
      <c r="H37" s="309"/>
      <c r="I37" s="309"/>
      <c r="J37" s="137"/>
      <c r="L37" s="43"/>
      <c r="M37" s="43"/>
      <c r="N37" s="44"/>
      <c r="O37" s="43"/>
      <c r="P37" s="43"/>
      <c r="Q37" s="43"/>
      <c r="R37" s="136"/>
      <c r="T37" s="31"/>
      <c r="V37" s="173"/>
      <c r="W37" s="6"/>
      <c r="X37" s="6"/>
      <c r="Y37" s="6"/>
      <c r="Z37" s="6"/>
      <c r="AA37" s="6"/>
      <c r="AB37" s="6"/>
      <c r="AC37" s="6"/>
      <c r="AD37" s="6"/>
    </row>
    <row r="38" spans="1:30" s="15" customFormat="1" ht="15" customHeight="1" x14ac:dyDescent="0.25">
      <c r="A38" s="72" t="s">
        <v>55</v>
      </c>
      <c r="B38" s="92"/>
      <c r="C38" s="93" t="s">
        <v>56</v>
      </c>
      <c r="D38" s="400"/>
      <c r="E38" s="401"/>
      <c r="F38" s="402"/>
      <c r="G38" s="308"/>
      <c r="H38" s="309"/>
      <c r="I38" s="309"/>
      <c r="J38" s="137"/>
      <c r="L38" s="43"/>
      <c r="M38" s="43"/>
      <c r="N38" s="44"/>
      <c r="O38" s="43"/>
      <c r="P38" s="43"/>
      <c r="Q38" s="43"/>
      <c r="R38" s="136"/>
      <c r="T38" s="31"/>
      <c r="V38" s="6"/>
      <c r="W38" s="6"/>
      <c r="X38" s="6"/>
      <c r="Y38" s="6"/>
      <c r="Z38" s="6"/>
      <c r="AA38" s="6"/>
      <c r="AB38" s="6"/>
      <c r="AC38" s="6"/>
      <c r="AD38" s="6"/>
    </row>
    <row r="39" spans="1:30" s="15" customFormat="1" ht="15" customHeight="1" x14ac:dyDescent="0.25">
      <c r="A39" s="72" t="s">
        <v>57</v>
      </c>
      <c r="B39" s="92"/>
      <c r="C39" s="93" t="s">
        <v>56</v>
      </c>
      <c r="D39" s="400"/>
      <c r="E39" s="401"/>
      <c r="F39" s="402"/>
      <c r="G39" s="308"/>
      <c r="H39" s="309"/>
      <c r="I39" s="309"/>
      <c r="J39" s="137"/>
      <c r="K39" s="292" t="s">
        <v>225</v>
      </c>
      <c r="L39" s="295"/>
      <c r="M39" s="295"/>
      <c r="N39" s="296"/>
      <c r="O39" s="295"/>
      <c r="P39" s="302"/>
      <c r="Q39" s="43"/>
      <c r="R39" s="136"/>
      <c r="T39" s="31"/>
      <c r="V39" s="408"/>
      <c r="W39" s="408"/>
      <c r="X39" s="408"/>
      <c r="Y39" s="408"/>
      <c r="Z39" s="408"/>
      <c r="AA39" s="408"/>
      <c r="AB39" s="408"/>
      <c r="AC39" s="408"/>
      <c r="AD39" s="6"/>
    </row>
    <row r="40" spans="1:30" s="15" customFormat="1" ht="8.25" customHeight="1" x14ac:dyDescent="0.25">
      <c r="A40" s="94"/>
      <c r="B40" s="95"/>
      <c r="C40" s="76"/>
      <c r="D40" s="329"/>
      <c r="E40" s="398"/>
      <c r="F40" s="399"/>
      <c r="G40" s="77"/>
      <c r="H40" s="84"/>
      <c r="I40" s="84"/>
      <c r="J40" s="81"/>
      <c r="K40" s="297"/>
      <c r="L40" s="298"/>
      <c r="M40" s="298"/>
      <c r="N40" s="186"/>
      <c r="O40" s="298"/>
      <c r="P40" s="75"/>
      <c r="Q40" s="422"/>
      <c r="R40" s="75"/>
      <c r="T40" s="31"/>
      <c r="V40" s="408"/>
      <c r="W40" s="408"/>
      <c r="X40" s="408"/>
      <c r="Y40" s="408"/>
      <c r="Z40" s="408"/>
      <c r="AA40" s="408"/>
      <c r="AB40" s="408"/>
      <c r="AC40" s="408"/>
      <c r="AD40" s="6"/>
    </row>
    <row r="41" spans="1:30" s="15" customFormat="1" ht="15" customHeight="1" x14ac:dyDescent="0.25">
      <c r="A41" s="72" t="s">
        <v>23</v>
      </c>
      <c r="B41" s="95"/>
      <c r="C41" s="76"/>
      <c r="D41" s="329"/>
      <c r="E41" s="398"/>
      <c r="F41" s="399"/>
      <c r="G41" s="77"/>
      <c r="H41" s="84"/>
      <c r="I41" s="84"/>
      <c r="J41" s="81"/>
      <c r="K41" s="293" t="s">
        <v>226</v>
      </c>
      <c r="L41" s="298"/>
      <c r="M41" s="298"/>
      <c r="N41" s="298"/>
      <c r="O41" s="298"/>
      <c r="P41" s="303"/>
      <c r="Q41" s="422"/>
      <c r="R41" s="75"/>
      <c r="T41" s="31"/>
      <c r="V41" s="413"/>
      <c r="W41" s="413"/>
      <c r="X41" s="413"/>
      <c r="Y41" s="413"/>
      <c r="Z41" s="413"/>
      <c r="AA41" s="171"/>
      <c r="AB41" s="171"/>
      <c r="AC41" s="171"/>
      <c r="AD41" s="171"/>
    </row>
    <row r="42" spans="1:30" s="15" customFormat="1" ht="15" customHeight="1" x14ac:dyDescent="0.25">
      <c r="A42" s="72" t="s">
        <v>59</v>
      </c>
      <c r="B42" s="95"/>
      <c r="C42" s="76"/>
      <c r="D42" s="437"/>
      <c r="E42" s="438"/>
      <c r="F42" s="439"/>
      <c r="G42" s="77"/>
      <c r="H42" s="84"/>
      <c r="I42" s="84"/>
      <c r="J42" s="81"/>
      <c r="K42" s="300" t="s">
        <v>227</v>
      </c>
      <c r="L42" s="479"/>
      <c r="M42" s="479"/>
      <c r="N42" s="479"/>
      <c r="O42" s="479"/>
      <c r="P42" s="304"/>
      <c r="Q42" s="213"/>
      <c r="R42" s="75"/>
      <c r="T42" s="31"/>
      <c r="V42" s="413"/>
      <c r="W42" s="413"/>
      <c r="X42" s="413"/>
      <c r="Y42" s="413"/>
      <c r="Z42" s="413"/>
      <c r="AA42" s="171"/>
      <c r="AB42" s="171"/>
      <c r="AC42" s="171"/>
      <c r="AD42" s="171"/>
    </row>
    <row r="43" spans="1:30" s="15" customFormat="1" ht="15" customHeight="1" x14ac:dyDescent="0.25">
      <c r="A43" s="72" t="s">
        <v>15</v>
      </c>
      <c r="B43" s="76"/>
      <c r="C43" s="78" t="s">
        <v>201</v>
      </c>
      <c r="D43" s="474" t="str">
        <f>(AA20)</f>
        <v>Basisangabe fehlt !</v>
      </c>
      <c r="E43" s="475"/>
      <c r="F43" s="476"/>
      <c r="G43" s="77"/>
      <c r="H43" s="84"/>
      <c r="I43" s="84"/>
      <c r="J43" s="81"/>
      <c r="K43" s="299"/>
      <c r="L43" s="287"/>
      <c r="M43" s="287"/>
      <c r="N43" s="287"/>
      <c r="O43" s="287"/>
      <c r="P43" s="304"/>
      <c r="Q43" s="213"/>
      <c r="R43" s="75"/>
      <c r="T43" s="31"/>
      <c r="V43" s="413"/>
      <c r="W43" s="413"/>
      <c r="X43" s="413"/>
      <c r="Y43" s="413"/>
      <c r="Z43" s="413"/>
      <c r="AA43" s="172"/>
      <c r="AB43" s="172"/>
      <c r="AC43" s="172"/>
      <c r="AD43" s="171"/>
    </row>
    <row r="44" spans="1:30" s="15" customFormat="1" ht="15" customHeight="1" x14ac:dyDescent="0.25">
      <c r="A44" s="72" t="s">
        <v>16</v>
      </c>
      <c r="B44" s="92"/>
      <c r="C44" s="78" t="s">
        <v>202</v>
      </c>
      <c r="D44" s="471" t="str">
        <f>(AA21)</f>
        <v>Basisangabe fehlt !</v>
      </c>
      <c r="E44" s="472"/>
      <c r="F44" s="473"/>
      <c r="G44" s="77"/>
      <c r="H44" s="84"/>
      <c r="I44" s="84"/>
      <c r="J44" s="81"/>
      <c r="K44" s="477" t="s">
        <v>228</v>
      </c>
      <c r="L44" s="478"/>
      <c r="M44" s="478"/>
      <c r="N44" s="478"/>
      <c r="O44" s="478"/>
      <c r="P44" s="304"/>
      <c r="Q44" s="333"/>
      <c r="R44" s="75"/>
      <c r="T44" s="31"/>
      <c r="V44" s="377"/>
      <c r="W44" s="377"/>
      <c r="X44" s="377"/>
      <c r="Y44" s="359"/>
      <c r="Z44" s="359"/>
      <c r="AA44" s="359"/>
      <c r="AB44" s="359"/>
      <c r="AC44" s="359"/>
      <c r="AD44" s="359"/>
    </row>
    <row r="45" spans="1:30" s="15" customFormat="1" ht="15" customHeight="1" x14ac:dyDescent="0.4">
      <c r="A45" s="179" t="s">
        <v>152</v>
      </c>
      <c r="B45" s="76"/>
      <c r="C45" s="76"/>
      <c r="D45" s="434"/>
      <c r="E45" s="435"/>
      <c r="F45" s="436"/>
      <c r="G45" s="308">
        <f>IF(J7=0,0,VLOOKUP($J$7,Tabelle2!$B$215:$W$275,9,FALSE))</f>
        <v>0</v>
      </c>
      <c r="H45" s="309"/>
      <c r="I45" s="309"/>
      <c r="J45" s="81"/>
      <c r="K45" s="414" t="s">
        <v>229</v>
      </c>
      <c r="L45" s="415"/>
      <c r="M45" s="446"/>
      <c r="N45" s="446"/>
      <c r="O45" s="446"/>
      <c r="P45" s="304"/>
      <c r="Q45" s="333"/>
      <c r="R45" s="75"/>
      <c r="T45" s="31"/>
      <c r="V45" s="377"/>
      <c r="W45" s="377"/>
      <c r="X45" s="377"/>
      <c r="Y45" s="359"/>
      <c r="Z45" s="359"/>
      <c r="AA45" s="359"/>
      <c r="AB45" s="359"/>
      <c r="AC45" s="359"/>
      <c r="AD45" s="359"/>
    </row>
    <row r="46" spans="1:30" s="15" customFormat="1" ht="15" customHeight="1" x14ac:dyDescent="0.25">
      <c r="A46" s="80" t="s">
        <v>96</v>
      </c>
      <c r="B46" s="92"/>
      <c r="C46" s="92"/>
      <c r="D46" s="324" t="s">
        <v>112</v>
      </c>
      <c r="E46" s="325"/>
      <c r="F46" s="326"/>
      <c r="G46" s="308">
        <f>IF(J7=0,0,VLOOKUP($J$7,Tabelle2!$B$215:$W$275,11,FALSE))</f>
        <v>0</v>
      </c>
      <c r="H46" s="309"/>
      <c r="I46" s="309"/>
      <c r="J46" s="81"/>
      <c r="K46" s="301"/>
      <c r="L46" s="123"/>
      <c r="M46" s="123"/>
      <c r="N46" s="123"/>
      <c r="O46" s="123"/>
      <c r="P46" s="305"/>
      <c r="Q46" s="1"/>
      <c r="R46" s="75"/>
      <c r="T46" s="31"/>
      <c r="V46" s="6"/>
      <c r="W46" s="6"/>
      <c r="X46" s="6"/>
      <c r="Y46" s="377"/>
      <c r="Z46" s="377"/>
      <c r="AA46" s="359"/>
      <c r="AB46" s="359"/>
      <c r="AC46" s="359"/>
      <c r="AD46" s="358"/>
    </row>
    <row r="47" spans="1:30" s="15" customFormat="1" ht="15" customHeight="1" x14ac:dyDescent="0.25">
      <c r="A47" s="80" t="s">
        <v>17</v>
      </c>
      <c r="B47" s="76"/>
      <c r="C47" s="76"/>
      <c r="D47" s="324" t="s">
        <v>112</v>
      </c>
      <c r="E47" s="325"/>
      <c r="F47" s="326"/>
      <c r="G47" s="308">
        <f>IF(J7=0,0,VLOOKUP($J$7,Tabelle2!$B$215:$W$275,14,FALSE))</f>
        <v>0</v>
      </c>
      <c r="H47" s="309"/>
      <c r="I47" s="309"/>
      <c r="J47" s="81"/>
      <c r="N47" s="421"/>
      <c r="O47" s="213"/>
      <c r="P47" s="213"/>
      <c r="Q47" s="213"/>
      <c r="R47" s="75"/>
      <c r="T47" s="31"/>
      <c r="V47" s="6"/>
      <c r="W47" s="6"/>
      <c r="X47" s="6"/>
      <c r="Y47" s="377"/>
      <c r="Z47" s="377"/>
      <c r="AA47" s="359"/>
      <c r="AB47" s="359"/>
      <c r="AC47" s="359"/>
      <c r="AD47" s="359"/>
    </row>
    <row r="48" spans="1:30" s="15" customFormat="1" ht="15" customHeight="1" x14ac:dyDescent="0.25">
      <c r="A48" s="80" t="s">
        <v>24</v>
      </c>
      <c r="B48" s="76"/>
      <c r="C48" s="76"/>
      <c r="D48" s="324" t="s">
        <v>112</v>
      </c>
      <c r="E48" s="325"/>
      <c r="F48" s="326"/>
      <c r="G48" s="327">
        <f>IF(J7=0,0,VLOOKUP($J$7,Tabelle2!$B$215:$W$275,17,FALSE))</f>
        <v>0</v>
      </c>
      <c r="H48" s="328"/>
      <c r="I48" s="328"/>
      <c r="J48" s="96"/>
      <c r="K48" s="294"/>
      <c r="L48" s="294"/>
      <c r="M48" s="213"/>
      <c r="N48" s="421"/>
      <c r="O48" s="213"/>
      <c r="P48" s="213"/>
      <c r="Q48" s="213"/>
      <c r="R48" s="75"/>
      <c r="T48" s="31"/>
      <c r="V48" s="377"/>
      <c r="W48" s="377"/>
      <c r="X48" s="377"/>
      <c r="Y48" s="377"/>
      <c r="Z48" s="377"/>
      <c r="AA48" s="359"/>
      <c r="AB48" s="359"/>
      <c r="AC48" s="359"/>
      <c r="AD48" s="359"/>
    </row>
    <row r="49" spans="1:104" s="15" customFormat="1" ht="10.5" customHeight="1" x14ac:dyDescent="0.25">
      <c r="A49" s="80"/>
      <c r="B49" s="76"/>
      <c r="C49" s="76"/>
      <c r="D49" s="329"/>
      <c r="E49" s="330"/>
      <c r="F49" s="331"/>
      <c r="G49" s="77"/>
      <c r="H49" s="84"/>
      <c r="I49" s="85"/>
      <c r="J49" s="81"/>
      <c r="K49" s="86"/>
      <c r="N49" s="31"/>
      <c r="O49" s="83"/>
      <c r="Q49" s="83"/>
      <c r="R49" s="75"/>
      <c r="T49" s="31"/>
      <c r="V49" s="377"/>
      <c r="W49" s="377"/>
      <c r="X49" s="377"/>
      <c r="Y49" s="377"/>
      <c r="Z49" s="377"/>
      <c r="AA49" s="359"/>
      <c r="AB49" s="359"/>
      <c r="AC49" s="359"/>
      <c r="AD49" s="359"/>
    </row>
    <row r="50" spans="1:104" s="15" customFormat="1" ht="15" customHeight="1" x14ac:dyDescent="0.2">
      <c r="A50" s="72" t="s">
        <v>75</v>
      </c>
      <c r="B50" s="76"/>
      <c r="C50" s="76"/>
      <c r="D50" s="329"/>
      <c r="E50" s="330"/>
      <c r="F50" s="331"/>
      <c r="G50" s="77"/>
      <c r="H50" s="84"/>
      <c r="I50" s="97"/>
      <c r="J50" s="98"/>
      <c r="K50" s="158"/>
      <c r="L50" s="159"/>
      <c r="M50" s="159"/>
      <c r="N50" s="165"/>
      <c r="O50" s="310"/>
      <c r="P50" s="311"/>
      <c r="Q50" s="311"/>
      <c r="R50" s="312"/>
      <c r="T50" s="186"/>
      <c r="V50" s="6"/>
      <c r="W50" s="6"/>
      <c r="X50" s="6"/>
      <c r="Y50" s="377"/>
      <c r="Z50" s="377"/>
      <c r="AA50" s="359"/>
      <c r="AB50" s="359"/>
      <c r="AC50" s="359"/>
      <c r="AD50" s="358"/>
    </row>
    <row r="51" spans="1:104" s="15" customFormat="1" ht="15" customHeight="1" x14ac:dyDescent="0.2">
      <c r="A51" s="90" t="s">
        <v>76</v>
      </c>
      <c r="B51" s="76"/>
      <c r="C51" s="76"/>
      <c r="D51" s="329"/>
      <c r="E51" s="330"/>
      <c r="F51" s="331"/>
      <c r="G51" s="308"/>
      <c r="H51" s="309"/>
      <c r="I51" s="309"/>
      <c r="J51" s="99"/>
      <c r="K51" s="158"/>
      <c r="L51" s="160"/>
      <c r="M51" s="160"/>
      <c r="N51" s="161"/>
      <c r="O51" s="162"/>
      <c r="P51" s="162"/>
      <c r="Q51" s="151"/>
      <c r="R51" s="75"/>
      <c r="T51" s="186"/>
      <c r="U51" s="148"/>
      <c r="V51" s="6"/>
      <c r="W51" s="6"/>
      <c r="X51" s="6"/>
      <c r="Y51" s="377"/>
      <c r="Z51" s="377"/>
      <c r="AA51" s="359"/>
      <c r="AB51" s="359"/>
      <c r="AC51" s="359"/>
      <c r="AD51" s="359"/>
    </row>
    <row r="52" spans="1:104" s="15" customFormat="1" ht="15" customHeight="1" x14ac:dyDescent="0.25">
      <c r="A52" s="90" t="s">
        <v>109</v>
      </c>
      <c r="B52" s="76"/>
      <c r="C52" s="76"/>
      <c r="D52" s="353" t="s">
        <v>112</v>
      </c>
      <c r="E52" s="354"/>
      <c r="F52" s="355"/>
      <c r="G52" s="308">
        <f>IF(J7=0,0,VLOOKUP($J$7,Tabelle2!$B$215:$W$275,20,FALSE))</f>
        <v>0</v>
      </c>
      <c r="H52" s="309"/>
      <c r="I52" s="352"/>
      <c r="J52" s="99"/>
      <c r="K52" s="43"/>
      <c r="L52" s="42"/>
      <c r="M52" s="42"/>
      <c r="N52" s="42"/>
      <c r="O52" s="42"/>
      <c r="P52" s="42"/>
      <c r="Q52" s="152"/>
      <c r="R52" s="75"/>
      <c r="T52" s="186"/>
      <c r="V52" s="377"/>
      <c r="W52" s="377"/>
      <c r="X52" s="377"/>
      <c r="Y52" s="359"/>
      <c r="Z52" s="359"/>
      <c r="AA52" s="359"/>
      <c r="AB52" s="359"/>
      <c r="AC52" s="359"/>
      <c r="AD52" s="358"/>
    </row>
    <row r="53" spans="1:104" s="15" customFormat="1" ht="15" customHeight="1" x14ac:dyDescent="0.25">
      <c r="A53" s="90" t="s">
        <v>110</v>
      </c>
      <c r="B53" s="76"/>
      <c r="C53" s="76"/>
      <c r="D53" s="349" t="s">
        <v>112</v>
      </c>
      <c r="E53" s="350"/>
      <c r="F53" s="351"/>
      <c r="G53" s="308">
        <f>IF(J7=0,0,VLOOKUP($J$7,Tabelle2!$B$215:$W$275,21,FALSE))</f>
        <v>0</v>
      </c>
      <c r="H53" s="309"/>
      <c r="I53" s="352"/>
      <c r="J53" s="99"/>
      <c r="K53" s="43"/>
      <c r="L53" s="42"/>
      <c r="M53" s="42"/>
      <c r="N53" s="42"/>
      <c r="O53" s="42"/>
      <c r="P53" s="42"/>
      <c r="Q53" s="152"/>
      <c r="R53" s="75"/>
      <c r="T53" s="186"/>
      <c r="V53" s="377"/>
      <c r="W53" s="377"/>
      <c r="X53" s="377"/>
      <c r="Y53" s="359"/>
      <c r="Z53" s="359"/>
      <c r="AA53" s="359"/>
      <c r="AB53" s="359"/>
      <c r="AC53" s="359"/>
      <c r="AD53" s="359"/>
    </row>
    <row r="54" spans="1:104" s="15" customFormat="1" ht="15" customHeight="1" x14ac:dyDescent="0.25">
      <c r="A54" s="72" t="s">
        <v>111</v>
      </c>
      <c r="B54" s="76"/>
      <c r="C54" s="76"/>
      <c r="D54" s="320"/>
      <c r="E54" s="321"/>
      <c r="F54" s="322"/>
      <c r="G54" s="308">
        <f>IF(J7=0,0,VLOOKUP($J$7,Tabelle2!$B$215:$W$275,22,FALSE))</f>
        <v>0</v>
      </c>
      <c r="H54" s="309"/>
      <c r="I54" s="309"/>
      <c r="J54" s="99"/>
      <c r="K54" s="154"/>
      <c r="L54" s="153"/>
      <c r="M54" s="153"/>
      <c r="N54" s="43"/>
      <c r="O54" s="152"/>
      <c r="P54" s="152"/>
      <c r="Q54" s="152"/>
      <c r="R54" s="75"/>
      <c r="T54" s="31"/>
      <c r="V54" s="6"/>
      <c r="W54" s="6"/>
      <c r="X54" s="6"/>
      <c r="Y54" s="377"/>
      <c r="Z54" s="377"/>
      <c r="AA54" s="359"/>
      <c r="AB54" s="359"/>
      <c r="AC54" s="359"/>
      <c r="AD54" s="358"/>
    </row>
    <row r="55" spans="1:104" s="15" customFormat="1" ht="10.5" customHeight="1" x14ac:dyDescent="0.25">
      <c r="A55" s="80"/>
      <c r="B55" s="76"/>
      <c r="C55" s="76"/>
      <c r="D55" s="329"/>
      <c r="E55" s="330"/>
      <c r="F55" s="331"/>
      <c r="G55" s="77"/>
      <c r="H55" s="100"/>
      <c r="I55" s="101"/>
      <c r="J55" s="102"/>
      <c r="K55" s="103"/>
      <c r="L55" s="103"/>
      <c r="M55" s="103"/>
      <c r="N55" s="104"/>
      <c r="O55" s="332"/>
      <c r="P55" s="332"/>
      <c r="Q55" s="332"/>
      <c r="R55" s="105"/>
      <c r="T55" s="31"/>
      <c r="V55" s="6"/>
      <c r="W55" s="6"/>
      <c r="X55" s="6"/>
      <c r="Y55" s="377"/>
      <c r="Z55" s="377"/>
      <c r="AA55" s="359"/>
      <c r="AB55" s="359"/>
      <c r="AC55" s="359"/>
      <c r="AD55" s="359"/>
    </row>
    <row r="56" spans="1:104" s="15" customFormat="1" ht="15" customHeight="1" x14ac:dyDescent="0.25">
      <c r="A56" s="72" t="s">
        <v>68</v>
      </c>
      <c r="B56" s="88"/>
      <c r="C56" s="88"/>
      <c r="D56" s="106" t="s">
        <v>72</v>
      </c>
      <c r="E56" s="93"/>
      <c r="F56" s="93"/>
      <c r="G56" s="107" t="s">
        <v>4</v>
      </c>
      <c r="H56" s="108"/>
      <c r="I56" s="109"/>
      <c r="J56" s="109"/>
      <c r="K56" s="109"/>
      <c r="L56" s="109"/>
      <c r="M56" s="109"/>
      <c r="N56" s="109"/>
      <c r="O56" s="109"/>
      <c r="P56" s="109"/>
      <c r="Q56" s="109"/>
      <c r="R56" s="110"/>
      <c r="T56" s="31"/>
      <c r="V56" s="377"/>
      <c r="W56" s="377"/>
      <c r="X56" s="377"/>
      <c r="Y56" s="359"/>
      <c r="Z56" s="359"/>
      <c r="AA56" s="359"/>
      <c r="AB56" s="359"/>
      <c r="AC56" s="359"/>
      <c r="AD56" s="358"/>
    </row>
    <row r="57" spans="1:104" s="15" customFormat="1" ht="15" customHeight="1" x14ac:dyDescent="0.25">
      <c r="A57" s="80" t="s">
        <v>71</v>
      </c>
      <c r="B57" s="76"/>
      <c r="C57" s="76"/>
      <c r="D57" s="33">
        <v>45</v>
      </c>
      <c r="E57" s="111" t="s">
        <v>73</v>
      </c>
      <c r="F57" s="46"/>
      <c r="G57" s="112"/>
      <c r="H57" s="31"/>
      <c r="R57" s="75"/>
      <c r="T57" s="31"/>
      <c r="V57" s="377"/>
      <c r="W57" s="377"/>
      <c r="X57" s="377"/>
      <c r="Y57" s="359"/>
      <c r="Z57" s="359"/>
      <c r="AA57" s="359"/>
      <c r="AB57" s="359"/>
      <c r="AC57" s="359"/>
      <c r="AD57" s="359"/>
      <c r="CR57" s="17"/>
      <c r="CS57" s="18"/>
      <c r="CT57" s="19"/>
      <c r="CU57" s="20"/>
      <c r="CV57" s="21"/>
      <c r="CW57" s="5"/>
      <c r="CX57" s="5"/>
      <c r="CY57" s="22"/>
      <c r="CZ57" s="23"/>
    </row>
    <row r="58" spans="1:104" s="15" customFormat="1" ht="15" customHeight="1" x14ac:dyDescent="0.25">
      <c r="A58" s="80"/>
      <c r="B58" s="76"/>
      <c r="C58" s="76"/>
      <c r="D58" s="33">
        <v>31.5</v>
      </c>
      <c r="E58" s="111" t="s">
        <v>73</v>
      </c>
      <c r="F58" s="46"/>
      <c r="G58" s="112">
        <f>IF(F58=0,0,VLOOKUP($J$7,Tabelle2!$B$145:$U$205,20,FALSE))</f>
        <v>0</v>
      </c>
      <c r="R58" s="75"/>
      <c r="T58" s="31"/>
      <c r="V58" s="6"/>
      <c r="W58" s="6"/>
      <c r="X58" s="6"/>
      <c r="Y58" s="377"/>
      <c r="Z58" s="377"/>
      <c r="AA58" s="359"/>
      <c r="AB58" s="359"/>
      <c r="AC58" s="359"/>
      <c r="AD58" s="358"/>
      <c r="CR58" s="24" t="s">
        <v>78</v>
      </c>
      <c r="CS58" s="367" t="s">
        <v>79</v>
      </c>
      <c r="CT58" s="368"/>
      <c r="CU58" s="374" t="s">
        <v>78</v>
      </c>
      <c r="CV58" s="373"/>
      <c r="CW58" s="373" t="s">
        <v>79</v>
      </c>
      <c r="CX58" s="373"/>
      <c r="CY58" s="369"/>
      <c r="CZ58" s="370"/>
    </row>
    <row r="59" spans="1:104" s="15" customFormat="1" ht="15" customHeight="1" x14ac:dyDescent="0.25">
      <c r="A59" s="72"/>
      <c r="B59" s="76"/>
      <c r="C59" s="76"/>
      <c r="D59" s="33">
        <v>22.4</v>
      </c>
      <c r="E59" s="111" t="s">
        <v>73</v>
      </c>
      <c r="F59" s="163"/>
      <c r="G59" s="112">
        <f>IF(F59=0,0,VLOOKUP($J$7,Tabelle2!$B$145:$U$205,19,FALSE))</f>
        <v>0</v>
      </c>
      <c r="R59" s="75"/>
      <c r="T59" s="31"/>
      <c r="V59" s="6"/>
      <c r="W59" s="6"/>
      <c r="X59" s="6"/>
      <c r="Y59" s="377"/>
      <c r="Z59" s="377"/>
      <c r="AA59" s="359"/>
      <c r="AB59" s="359"/>
      <c r="AC59" s="359"/>
      <c r="AD59" s="359"/>
      <c r="CR59" s="25"/>
      <c r="CS59" s="26"/>
      <c r="CT59" s="27"/>
      <c r="CU59" s="371" t="s">
        <v>81</v>
      </c>
      <c r="CV59" s="379"/>
      <c r="CW59" s="379"/>
      <c r="CX59" s="372"/>
      <c r="CY59" s="371" t="s">
        <v>82</v>
      </c>
      <c r="CZ59" s="372"/>
    </row>
    <row r="60" spans="1:104" s="15" customFormat="1" ht="15" customHeight="1" x14ac:dyDescent="0.25">
      <c r="A60" s="113"/>
      <c r="B60" s="76"/>
      <c r="C60" s="76"/>
      <c r="D60" s="114">
        <v>16</v>
      </c>
      <c r="E60" s="111" t="s">
        <v>73</v>
      </c>
      <c r="F60" s="164"/>
      <c r="G60" s="112">
        <f>IF(F60=0,0,VLOOKUP($J$7,Tabelle2!$B$145:$U$205,18,FALSE))</f>
        <v>0</v>
      </c>
      <c r="R60" s="75"/>
      <c r="T60" s="31"/>
      <c r="U60" s="28"/>
      <c r="V60" s="377"/>
      <c r="W60" s="377"/>
      <c r="X60" s="377"/>
      <c r="Y60" s="377"/>
      <c r="Z60" s="377"/>
      <c r="AA60" s="359"/>
      <c r="AB60" s="359"/>
      <c r="AC60" s="359"/>
      <c r="AD60" s="358"/>
      <c r="CR60" s="16"/>
      <c r="CS60" s="29"/>
      <c r="CT60" s="30"/>
      <c r="CU60" s="364"/>
      <c r="CV60" s="365"/>
      <c r="CW60" s="366"/>
      <c r="CX60" s="365"/>
      <c r="CY60" s="360"/>
      <c r="CZ60" s="361"/>
    </row>
    <row r="61" spans="1:104" s="15" customFormat="1" ht="15" customHeight="1" x14ac:dyDescent="0.25">
      <c r="A61" s="72"/>
      <c r="B61" s="76"/>
      <c r="C61" s="76"/>
      <c r="D61" s="114">
        <v>11.2</v>
      </c>
      <c r="E61" s="111" t="s">
        <v>73</v>
      </c>
      <c r="F61" s="163"/>
      <c r="G61" s="112">
        <f>IF(F61=0,0,VLOOKUP($J$7,Tabelle2!$B$145:$U$205,17,FALSE))</f>
        <v>0</v>
      </c>
      <c r="R61" s="75"/>
      <c r="T61" s="31"/>
      <c r="V61" s="377"/>
      <c r="W61" s="377"/>
      <c r="X61" s="377"/>
      <c r="Y61" s="377"/>
      <c r="Z61" s="377"/>
      <c r="AA61" s="359"/>
      <c r="AB61" s="359"/>
      <c r="AC61" s="359"/>
      <c r="AD61" s="359"/>
      <c r="CR61" s="16"/>
      <c r="CS61" s="29"/>
      <c r="CT61" s="32"/>
      <c r="CU61" s="378"/>
      <c r="CV61" s="363"/>
      <c r="CW61" s="362"/>
      <c r="CX61" s="363"/>
      <c r="CY61" s="356"/>
      <c r="CZ61" s="357"/>
    </row>
    <row r="62" spans="1:104" s="15" customFormat="1" ht="15" customHeight="1" x14ac:dyDescent="0.25">
      <c r="A62" s="72"/>
      <c r="B62" s="76"/>
      <c r="C62" s="76"/>
      <c r="D62" s="114">
        <v>8</v>
      </c>
      <c r="E62" s="111" t="s">
        <v>73</v>
      </c>
      <c r="F62" s="163"/>
      <c r="G62" s="112">
        <f>IF(F62=0,0,VLOOKUP($J$7,Tabelle2!$B$145:$U$205,16,FALSE))</f>
        <v>0</v>
      </c>
      <c r="R62" s="75"/>
      <c r="T62" s="31"/>
      <c r="V62" s="6"/>
      <c r="W62" s="6"/>
      <c r="X62" s="6"/>
      <c r="Y62" s="377"/>
      <c r="Z62" s="377"/>
      <c r="AA62" s="359"/>
      <c r="AB62" s="359"/>
      <c r="AC62" s="359"/>
      <c r="AD62" s="358"/>
      <c r="CR62" s="16"/>
      <c r="CS62" s="29"/>
      <c r="CT62" s="32"/>
      <c r="CU62" s="378"/>
      <c r="CV62" s="363"/>
      <c r="CW62" s="362"/>
      <c r="CX62" s="363"/>
      <c r="CY62" s="356"/>
      <c r="CZ62" s="357"/>
    </row>
    <row r="63" spans="1:104" s="15" customFormat="1" ht="15" customHeight="1" x14ac:dyDescent="0.25">
      <c r="A63" s="72"/>
      <c r="B63" s="76"/>
      <c r="C63" s="76"/>
      <c r="D63" s="114">
        <v>5.6</v>
      </c>
      <c r="E63" s="111" t="s">
        <v>73</v>
      </c>
      <c r="F63" s="164"/>
      <c r="G63" s="112"/>
      <c r="R63" s="75"/>
      <c r="T63" s="31"/>
      <c r="V63" s="6"/>
      <c r="W63" s="6"/>
      <c r="X63" s="6"/>
      <c r="Y63" s="377"/>
      <c r="Z63" s="377"/>
      <c r="AA63" s="359"/>
      <c r="AB63" s="359"/>
      <c r="AC63" s="359"/>
      <c r="AD63" s="359"/>
      <c r="CR63" s="16"/>
      <c r="CS63" s="375">
        <v>100</v>
      </c>
      <c r="CT63" s="376"/>
      <c r="CU63" s="378"/>
      <c r="CV63" s="363"/>
      <c r="CW63" s="362">
        <v>100</v>
      </c>
      <c r="CX63" s="363"/>
      <c r="CY63" s="356"/>
      <c r="CZ63" s="357"/>
    </row>
    <row r="64" spans="1:104" s="15" customFormat="1" ht="15" customHeight="1" x14ac:dyDescent="0.25">
      <c r="A64" s="72"/>
      <c r="B64" s="76"/>
      <c r="C64" s="76"/>
      <c r="D64" s="114">
        <v>4</v>
      </c>
      <c r="E64" s="111" t="s">
        <v>73</v>
      </c>
      <c r="F64" s="163"/>
      <c r="G64" s="112">
        <f>IF(F64=0,0,VLOOKUP($J$7,Tabelle2!$B$145:$U$205,14,FALSE))</f>
        <v>0</v>
      </c>
      <c r="R64" s="75"/>
      <c r="T64" s="31"/>
      <c r="V64" s="377"/>
      <c r="W64" s="377"/>
      <c r="X64" s="377"/>
      <c r="Y64" s="359"/>
      <c r="Z64" s="359"/>
      <c r="AA64" s="359"/>
      <c r="AB64" s="359"/>
      <c r="AC64" s="359"/>
      <c r="AD64" s="358"/>
      <c r="CR64" s="16">
        <v>100</v>
      </c>
      <c r="CS64" s="387">
        <v>90</v>
      </c>
      <c r="CT64" s="388"/>
      <c r="CU64" s="378">
        <v>100</v>
      </c>
      <c r="CV64" s="363"/>
      <c r="CW64" s="362">
        <v>90</v>
      </c>
      <c r="CX64" s="363"/>
      <c r="CY64" s="356">
        <v>100</v>
      </c>
      <c r="CZ64" s="357"/>
    </row>
    <row r="65" spans="1:104" s="15" customFormat="1" ht="15" customHeight="1" x14ac:dyDescent="0.25">
      <c r="A65" s="72"/>
      <c r="B65" s="76"/>
      <c r="C65" s="76"/>
      <c r="D65" s="114">
        <v>2</v>
      </c>
      <c r="E65" s="111" t="s">
        <v>73</v>
      </c>
      <c r="F65" s="163"/>
      <c r="G65" s="112">
        <f>IF(F65=0,0,VLOOKUP($J$7,Tabelle2!$B$145:$U$205,12,FALSE))</f>
        <v>0</v>
      </c>
      <c r="H65" s="115"/>
      <c r="R65" s="75"/>
      <c r="T65" s="31"/>
      <c r="V65" s="377"/>
      <c r="W65" s="377"/>
      <c r="X65" s="377"/>
      <c r="Y65" s="359"/>
      <c r="Z65" s="359"/>
      <c r="AA65" s="359"/>
      <c r="AB65" s="359"/>
      <c r="AC65" s="359"/>
      <c r="AD65" s="359"/>
      <c r="CR65" s="33">
        <v>81.5</v>
      </c>
      <c r="CS65" s="387">
        <v>59.5</v>
      </c>
      <c r="CT65" s="388"/>
      <c r="CU65" s="378">
        <v>85</v>
      </c>
      <c r="CV65" s="363"/>
      <c r="CW65" s="362">
        <v>58</v>
      </c>
      <c r="CX65" s="363"/>
      <c r="CY65" s="356">
        <v>87</v>
      </c>
      <c r="CZ65" s="357"/>
    </row>
    <row r="66" spans="1:104" s="15" customFormat="1" ht="15" customHeight="1" x14ac:dyDescent="0.25">
      <c r="A66" s="72"/>
      <c r="B66" s="76"/>
      <c r="C66" s="76"/>
      <c r="D66" s="114">
        <v>1</v>
      </c>
      <c r="E66" s="111" t="s">
        <v>73</v>
      </c>
      <c r="F66" s="163"/>
      <c r="G66" s="112">
        <f>IF(F66=0,0,VLOOKUP($J$7,Tabelle2!$B$145:$U$205,10,FALSE))</f>
        <v>0</v>
      </c>
      <c r="H66" s="31"/>
      <c r="R66" s="75"/>
      <c r="T66" s="31"/>
      <c r="V66" s="377"/>
      <c r="W66" s="377"/>
      <c r="X66" s="377"/>
      <c r="Y66" s="377"/>
      <c r="Z66" s="377"/>
      <c r="AA66" s="359"/>
      <c r="AB66" s="377"/>
      <c r="AC66" s="359"/>
      <c r="AD66" s="358"/>
      <c r="CR66" s="33">
        <v>61.5</v>
      </c>
      <c r="CS66" s="387">
        <v>39</v>
      </c>
      <c r="CT66" s="388"/>
      <c r="CU66" s="378">
        <v>62</v>
      </c>
      <c r="CV66" s="363"/>
      <c r="CW66" s="362">
        <v>38</v>
      </c>
      <c r="CX66" s="363"/>
      <c r="CY66" s="356">
        <v>67</v>
      </c>
      <c r="CZ66" s="357"/>
    </row>
    <row r="67" spans="1:104" s="15" customFormat="1" ht="15" customHeight="1" x14ac:dyDescent="0.25">
      <c r="A67" s="72"/>
      <c r="B67" s="76"/>
      <c r="C67" s="76"/>
      <c r="D67" s="114">
        <v>0.5</v>
      </c>
      <c r="E67" s="111" t="s">
        <v>73</v>
      </c>
      <c r="F67" s="163"/>
      <c r="G67" s="112"/>
      <c r="H67" s="31"/>
      <c r="I67" s="115"/>
      <c r="J67" s="115"/>
      <c r="R67" s="75"/>
      <c r="T67" s="31"/>
      <c r="V67" s="377"/>
      <c r="W67" s="377"/>
      <c r="X67" s="377"/>
      <c r="Y67" s="377"/>
      <c r="Z67" s="377"/>
      <c r="AA67" s="359"/>
      <c r="AB67" s="377"/>
      <c r="AC67" s="359"/>
      <c r="AD67" s="359"/>
      <c r="CR67" s="33">
        <v>46</v>
      </c>
      <c r="CS67" s="387">
        <v>25.5</v>
      </c>
      <c r="CT67" s="388"/>
      <c r="CU67" s="378" t="e">
        <f>(#REF!+#REF!)/2</f>
        <v>#REF!</v>
      </c>
      <c r="CV67" s="363"/>
      <c r="CW67" s="362" t="e">
        <f>(#REF!+#REF!)/2</f>
        <v>#REF!</v>
      </c>
      <c r="CX67" s="363"/>
      <c r="CY67" s="356" t="e">
        <f>(#REF!+#REF!)/2</f>
        <v>#REF!</v>
      </c>
      <c r="CZ67" s="357"/>
    </row>
    <row r="68" spans="1:104" s="15" customFormat="1" ht="15" customHeight="1" x14ac:dyDescent="0.25">
      <c r="A68" s="72"/>
      <c r="B68" s="76"/>
      <c r="C68" s="76"/>
      <c r="D68" s="116">
        <v>0.25</v>
      </c>
      <c r="E68" s="111" t="s">
        <v>73</v>
      </c>
      <c r="F68" s="163"/>
      <c r="G68" s="112"/>
      <c r="H68" s="31"/>
      <c r="R68" s="75"/>
      <c r="T68" s="31"/>
      <c r="V68" s="377"/>
      <c r="W68" s="377"/>
      <c r="X68" s="377"/>
      <c r="Y68" s="377"/>
      <c r="Z68" s="377"/>
      <c r="AA68" s="359"/>
      <c r="AB68" s="359"/>
      <c r="AC68" s="359"/>
      <c r="AD68" s="358"/>
      <c r="CR68" s="33">
        <v>34</v>
      </c>
      <c r="CS68" s="387">
        <v>17</v>
      </c>
      <c r="CT68" s="388"/>
      <c r="CU68" s="378" t="e">
        <f>(#REF!+#REF!)/2</f>
        <v>#REF!</v>
      </c>
      <c r="CV68" s="363"/>
      <c r="CW68" s="362" t="e">
        <f>(#REF!+#REF!)/2</f>
        <v>#REF!</v>
      </c>
      <c r="CX68" s="363"/>
      <c r="CY68" s="356" t="e">
        <f>(#REF!+#REF!)/2</f>
        <v>#REF!</v>
      </c>
      <c r="CZ68" s="357"/>
    </row>
    <row r="69" spans="1:104" s="15" customFormat="1" ht="15" customHeight="1" x14ac:dyDescent="0.25">
      <c r="A69" s="72"/>
      <c r="B69" s="76"/>
      <c r="C69" s="76"/>
      <c r="D69" s="117">
        <v>0.125</v>
      </c>
      <c r="E69" s="111" t="s">
        <v>73</v>
      </c>
      <c r="F69" s="163"/>
      <c r="G69" s="112"/>
      <c r="H69" s="31"/>
      <c r="R69" s="75"/>
      <c r="T69" s="31"/>
      <c r="V69" s="377"/>
      <c r="W69" s="377"/>
      <c r="X69" s="377"/>
      <c r="Y69" s="377"/>
      <c r="Z69" s="377"/>
      <c r="AA69" s="359"/>
      <c r="AB69" s="359"/>
      <c r="AC69" s="359"/>
      <c r="AD69" s="359"/>
      <c r="CR69" s="33">
        <v>26.17</v>
      </c>
      <c r="CS69" s="387">
        <v>12.5</v>
      </c>
      <c r="CT69" s="388"/>
      <c r="CU69" s="378" t="e">
        <f>(#REF!+#REF!)/2</f>
        <v>#REF!</v>
      </c>
      <c r="CV69" s="363"/>
      <c r="CW69" s="362" t="e">
        <f>(#REF!+#REF!)/2</f>
        <v>#REF!</v>
      </c>
      <c r="CX69" s="363"/>
      <c r="CY69" s="356" t="e">
        <f>(#REF!+#REF!)/2</f>
        <v>#REF!</v>
      </c>
      <c r="CZ69" s="357"/>
    </row>
    <row r="70" spans="1:104" s="15" customFormat="1" ht="15" customHeight="1" x14ac:dyDescent="0.25">
      <c r="A70" s="118"/>
      <c r="B70" s="119"/>
      <c r="C70" s="119"/>
      <c r="D70" s="120">
        <v>6.3E-2</v>
      </c>
      <c r="E70" s="121" t="s">
        <v>73</v>
      </c>
      <c r="F70" s="47"/>
      <c r="G70" s="122">
        <f>IF(F70=0,0,VLOOKUP($J$7,Tabelle2!$B$145:$U$205,2,FALSE))</f>
        <v>0</v>
      </c>
      <c r="H70" s="104"/>
      <c r="I70" s="123"/>
      <c r="J70" s="123"/>
      <c r="K70" s="123"/>
      <c r="L70" s="123"/>
      <c r="M70" s="123"/>
      <c r="N70" s="123"/>
      <c r="O70" s="123"/>
      <c r="P70" s="123"/>
      <c r="Q70" s="123"/>
      <c r="R70" s="105"/>
      <c r="T70" s="31"/>
      <c r="V70" s="6"/>
      <c r="W70" s="6"/>
      <c r="X70" s="6"/>
      <c r="Y70" s="6"/>
      <c r="Z70" s="6"/>
      <c r="AA70" s="6"/>
      <c r="AB70" s="6"/>
      <c r="AC70" s="6"/>
      <c r="AD70" s="6"/>
      <c r="CR70" s="33">
        <v>20.5</v>
      </c>
      <c r="CS70" s="387">
        <v>9.5</v>
      </c>
      <c r="CT70" s="388"/>
      <c r="CU70" s="378" t="e">
        <f>(#REF!+#REF!)/2</f>
        <v>#REF!</v>
      </c>
      <c r="CV70" s="363"/>
      <c r="CW70" s="362" t="e">
        <f>(#REF!+#REF!)/2</f>
        <v>#REF!</v>
      </c>
      <c r="CX70" s="363"/>
      <c r="CY70" s="356" t="e">
        <f>(#REF!+#REF!)/2</f>
        <v>#REF!</v>
      </c>
      <c r="CZ70" s="357"/>
    </row>
    <row r="71" spans="1:104" ht="6.75" customHeight="1" x14ac:dyDescent="0.3">
      <c r="D71" s="124"/>
      <c r="F71" s="125"/>
      <c r="G71" s="126"/>
      <c r="N71"/>
      <c r="V71" s="6"/>
      <c r="W71" s="6"/>
      <c r="X71" s="6"/>
      <c r="Y71" s="6"/>
      <c r="Z71" s="6"/>
      <c r="AA71" s="6"/>
      <c r="AB71" s="6"/>
      <c r="AC71" s="6"/>
      <c r="AD71" s="6"/>
      <c r="CR71" s="4"/>
      <c r="CS71" s="12"/>
      <c r="CT71" s="13"/>
      <c r="CU71" s="14"/>
      <c r="CV71" s="9"/>
      <c r="CW71" s="8"/>
      <c r="CX71" s="9"/>
      <c r="CY71" s="10"/>
      <c r="CZ71" s="11"/>
    </row>
    <row r="72" spans="1:104" ht="12.75" customHeight="1" x14ac:dyDescent="0.3">
      <c r="A72" s="319"/>
      <c r="B72" s="319"/>
      <c r="C72" s="323"/>
      <c r="D72" s="323"/>
      <c r="E72" s="323"/>
      <c r="F72" s="127"/>
      <c r="H72" s="48"/>
      <c r="I72" s="49"/>
      <c r="J72" s="42"/>
      <c r="K72" s="49"/>
      <c r="L72" s="42"/>
      <c r="M72" s="50"/>
      <c r="N72" s="45"/>
      <c r="O72" s="49"/>
      <c r="P72" s="42"/>
      <c r="Q72" s="49"/>
      <c r="V72" s="6"/>
      <c r="W72" s="6"/>
      <c r="X72" s="6"/>
      <c r="Y72" s="6"/>
      <c r="Z72" s="6"/>
      <c r="AA72" s="6"/>
      <c r="AB72" s="6"/>
      <c r="AC72" s="6"/>
      <c r="AD72" s="6"/>
      <c r="CR72" s="4">
        <v>14.83</v>
      </c>
      <c r="CS72" s="385">
        <v>6.5</v>
      </c>
      <c r="CT72" s="386"/>
      <c r="CU72" s="384">
        <v>11</v>
      </c>
      <c r="CV72" s="383"/>
      <c r="CW72" s="382">
        <v>6</v>
      </c>
      <c r="CX72" s="383"/>
      <c r="CY72" s="380">
        <v>13</v>
      </c>
      <c r="CZ72" s="381"/>
    </row>
    <row r="73" spans="1:104" ht="11.25" customHeight="1" x14ac:dyDescent="0.3">
      <c r="A73" s="222" t="s">
        <v>115</v>
      </c>
      <c r="B73" s="306"/>
      <c r="C73" s="307"/>
      <c r="F73" s="223" t="s">
        <v>115</v>
      </c>
      <c r="G73" s="306"/>
      <c r="H73" s="307"/>
      <c r="I73" s="307"/>
      <c r="K73" s="128"/>
      <c r="L73" s="52"/>
      <c r="M73" s="226" t="s">
        <v>115</v>
      </c>
      <c r="O73" s="128"/>
      <c r="Q73" s="128"/>
      <c r="V73" s="6"/>
      <c r="W73" s="6"/>
      <c r="X73" s="6"/>
      <c r="Y73" s="6"/>
      <c r="Z73" s="6"/>
      <c r="AA73" s="6"/>
      <c r="AB73" s="6"/>
      <c r="AC73" s="6"/>
      <c r="AD73" s="6"/>
    </row>
    <row r="74" spans="1:104" ht="12.75" customHeight="1" x14ac:dyDescent="0.3">
      <c r="A74" s="219" t="s">
        <v>147</v>
      </c>
      <c r="B74" s="220"/>
      <c r="C74" s="220"/>
      <c r="F74" s="224" t="s">
        <v>147</v>
      </c>
      <c r="G74" s="224"/>
      <c r="H74" s="225"/>
      <c r="I74" s="225"/>
      <c r="J74" s="54"/>
      <c r="K74" s="54"/>
      <c r="L74" s="52"/>
      <c r="M74" s="195" t="s">
        <v>147</v>
      </c>
      <c r="O74" s="128"/>
      <c r="Q74" s="128"/>
      <c r="V74" s="6"/>
      <c r="W74" s="6"/>
      <c r="X74" s="6"/>
      <c r="Y74" s="6"/>
      <c r="Z74" s="6"/>
      <c r="AA74" s="6"/>
      <c r="AB74" s="6"/>
      <c r="AC74" s="6"/>
      <c r="AD74" s="6"/>
    </row>
    <row r="75" spans="1:104" ht="12.75" customHeight="1" x14ac:dyDescent="0.3">
      <c r="A75" s="221" t="s">
        <v>146</v>
      </c>
      <c r="B75" s="54"/>
      <c r="C75" s="54"/>
      <c r="F75" s="170" t="s">
        <v>128</v>
      </c>
      <c r="G75" s="170"/>
      <c r="H75" s="170"/>
      <c r="I75" s="170"/>
      <c r="J75" s="54"/>
      <c r="K75" s="54"/>
      <c r="L75" s="52"/>
      <c r="M75" s="195" t="s">
        <v>148</v>
      </c>
      <c r="O75" s="128"/>
      <c r="Q75" s="128"/>
      <c r="V75" s="6"/>
      <c r="W75" s="6"/>
      <c r="X75" s="6"/>
      <c r="Y75" s="6"/>
      <c r="Z75" s="6"/>
      <c r="AA75" s="6"/>
      <c r="AB75" s="6"/>
      <c r="AC75" s="6"/>
      <c r="AD75" s="6"/>
    </row>
    <row r="76" spans="1:104" ht="12.75" customHeight="1" x14ac:dyDescent="0.3">
      <c r="A76" s="169"/>
      <c r="B76" s="54"/>
      <c r="C76" s="54"/>
      <c r="E76" s="54"/>
      <c r="F76" s="169"/>
      <c r="G76" s="41"/>
      <c r="H76" s="41"/>
      <c r="I76" s="41"/>
      <c r="J76" s="54"/>
      <c r="K76" s="54"/>
      <c r="L76" s="52"/>
      <c r="O76" s="128"/>
      <c r="Q76" s="128"/>
      <c r="V76" s="6"/>
      <c r="W76" s="6"/>
      <c r="X76" s="6"/>
      <c r="Y76" s="6"/>
      <c r="Z76" s="6"/>
      <c r="AA76" s="6"/>
      <c r="AB76" s="6"/>
      <c r="AC76" s="6"/>
      <c r="AD76" s="6"/>
    </row>
    <row r="77" spans="1:104" ht="12.75" customHeight="1" x14ac:dyDescent="0.3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2"/>
      <c r="O77" s="128"/>
      <c r="Q77" s="128"/>
      <c r="V77" s="6"/>
      <c r="W77" s="6"/>
      <c r="X77" s="6"/>
      <c r="Y77" s="6"/>
      <c r="Z77" s="6"/>
      <c r="AA77" s="6"/>
      <c r="AB77" s="6"/>
      <c r="AC77" s="6"/>
      <c r="AD77" s="6"/>
    </row>
    <row r="78" spans="1:104" ht="12.75" customHeight="1" x14ac:dyDescent="0.3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2"/>
      <c r="O78" s="128"/>
      <c r="Q78" s="128"/>
      <c r="V78" s="6"/>
      <c r="W78" s="6"/>
      <c r="X78" s="6"/>
      <c r="Y78" s="6"/>
      <c r="Z78" s="6"/>
      <c r="AA78" s="6"/>
      <c r="AB78" s="6"/>
      <c r="AC78" s="6"/>
      <c r="AD78" s="6"/>
    </row>
    <row r="79" spans="1:104" ht="12.75" customHeight="1" x14ac:dyDescent="0.3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2"/>
      <c r="O79" s="128"/>
      <c r="Q79" s="128"/>
      <c r="V79" s="6"/>
      <c r="W79" s="6"/>
      <c r="X79" s="6"/>
      <c r="Y79" s="6"/>
      <c r="Z79" s="6"/>
      <c r="AA79" s="6"/>
      <c r="AB79" s="6"/>
      <c r="AC79" s="6"/>
      <c r="AD79" s="6"/>
    </row>
    <row r="80" spans="1:104" ht="12" customHeight="1" x14ac:dyDescent="0.3">
      <c r="A80" s="54"/>
      <c r="B80" s="54"/>
      <c r="C80" s="54"/>
      <c r="E80" s="54"/>
      <c r="F80" s="54"/>
      <c r="G80" s="54"/>
      <c r="H80" s="54"/>
      <c r="I80" s="54"/>
      <c r="J80" s="54"/>
      <c r="K80" s="54"/>
      <c r="L80" s="52"/>
      <c r="O80" s="128"/>
      <c r="Q80" s="128"/>
      <c r="V80" s="6"/>
      <c r="W80" s="6"/>
      <c r="X80" s="6"/>
      <c r="Y80" s="6"/>
      <c r="Z80" s="6"/>
      <c r="AA80" s="6"/>
      <c r="AB80" s="6"/>
      <c r="AC80" s="6"/>
      <c r="AD80" s="6"/>
    </row>
    <row r="81" spans="1:19" ht="12.75" customHeight="1" x14ac:dyDescent="0.25">
      <c r="A81"/>
      <c r="D81"/>
      <c r="E81"/>
      <c r="F81"/>
      <c r="H81"/>
      <c r="N81"/>
    </row>
    <row r="82" spans="1:19" ht="12.75" customHeight="1" x14ac:dyDescent="0.25">
      <c r="A82" s="150"/>
      <c r="B82" s="150"/>
      <c r="C82" s="150"/>
      <c r="D82" s="150"/>
      <c r="F82" s="348" t="s">
        <v>64</v>
      </c>
      <c r="G82" s="348"/>
      <c r="H82" s="348"/>
      <c r="I82" s="348"/>
      <c r="J82" s="348"/>
      <c r="K82" s="348"/>
      <c r="L82" s="348"/>
      <c r="N82" s="149"/>
      <c r="O82" s="149"/>
      <c r="P82" s="149"/>
      <c r="Q82" s="149"/>
      <c r="R82" s="149"/>
      <c r="S82" s="149"/>
    </row>
    <row r="83" spans="1:19" x14ac:dyDescent="0.25">
      <c r="S83" s="2"/>
    </row>
    <row r="84" spans="1:19" x14ac:dyDescent="0.25">
      <c r="A84"/>
      <c r="D84"/>
      <c r="E84"/>
      <c r="F84"/>
      <c r="H84"/>
      <c r="N84"/>
    </row>
    <row r="85" spans="1:19" x14ac:dyDescent="0.25">
      <c r="A85"/>
      <c r="D85"/>
      <c r="E85"/>
      <c r="F85"/>
      <c r="H85"/>
      <c r="N85"/>
    </row>
    <row r="86" spans="1:19" ht="12.75" customHeight="1" x14ac:dyDescent="0.25">
      <c r="A86"/>
      <c r="D86"/>
      <c r="E86"/>
      <c r="F86"/>
      <c r="H86"/>
      <c r="N86"/>
    </row>
    <row r="87" spans="1:19" x14ac:dyDescent="0.25">
      <c r="A87"/>
      <c r="D87"/>
      <c r="E87"/>
      <c r="F87"/>
      <c r="H87"/>
      <c r="N87"/>
    </row>
    <row r="88" spans="1:19" x14ac:dyDescent="0.25">
      <c r="A88"/>
      <c r="D88"/>
      <c r="E88"/>
      <c r="F88"/>
      <c r="H88"/>
      <c r="N88"/>
    </row>
    <row r="89" spans="1:19" x14ac:dyDescent="0.25">
      <c r="A89"/>
      <c r="D89"/>
      <c r="E89"/>
      <c r="F89"/>
      <c r="H89"/>
      <c r="N89"/>
    </row>
    <row r="90" spans="1:19" x14ac:dyDescent="0.25">
      <c r="A90"/>
      <c r="D90"/>
      <c r="E90"/>
      <c r="F90"/>
      <c r="H90"/>
      <c r="N90"/>
    </row>
    <row r="91" spans="1:19" x14ac:dyDescent="0.25">
      <c r="A91"/>
      <c r="D91"/>
      <c r="E91"/>
      <c r="F91"/>
      <c r="H91"/>
      <c r="N91"/>
    </row>
    <row r="92" spans="1:19" x14ac:dyDescent="0.25">
      <c r="A92"/>
      <c r="D92"/>
      <c r="E92"/>
      <c r="F92"/>
      <c r="H92"/>
      <c r="N92"/>
    </row>
    <row r="93" spans="1:19" x14ac:dyDescent="0.25">
      <c r="A93"/>
      <c r="D93"/>
      <c r="E93"/>
      <c r="F93"/>
      <c r="H93"/>
      <c r="N93"/>
    </row>
    <row r="94" spans="1:19" x14ac:dyDescent="0.25">
      <c r="A94"/>
      <c r="D94"/>
      <c r="E94"/>
      <c r="F94"/>
      <c r="H94"/>
      <c r="N94"/>
    </row>
    <row r="95" spans="1:19" x14ac:dyDescent="0.25">
      <c r="A95"/>
      <c r="D95"/>
      <c r="E95"/>
      <c r="F95"/>
      <c r="H95"/>
      <c r="N95"/>
    </row>
    <row r="96" spans="1:19" x14ac:dyDescent="0.25">
      <c r="A96"/>
      <c r="D96"/>
      <c r="E96"/>
      <c r="F96"/>
      <c r="H96"/>
      <c r="N96"/>
    </row>
    <row r="97" spans="1:14" ht="19.5" customHeight="1" x14ac:dyDescent="0.25">
      <c r="A97"/>
      <c r="D97"/>
      <c r="E97"/>
      <c r="F97"/>
      <c r="H97"/>
      <c r="N97"/>
    </row>
    <row r="98" spans="1:14" x14ac:dyDescent="0.25">
      <c r="A98"/>
      <c r="D98"/>
      <c r="E98"/>
      <c r="F98"/>
      <c r="H98"/>
      <c r="N98"/>
    </row>
    <row r="99" spans="1:14" ht="21.75" customHeight="1" x14ac:dyDescent="0.25">
      <c r="A99"/>
      <c r="D99"/>
      <c r="E99"/>
      <c r="F99"/>
      <c r="H99"/>
      <c r="N99"/>
    </row>
    <row r="100" spans="1:14" x14ac:dyDescent="0.25">
      <c r="A100"/>
      <c r="D100"/>
      <c r="E100"/>
      <c r="F100"/>
      <c r="H100"/>
      <c r="N100"/>
    </row>
    <row r="101" spans="1:14" x14ac:dyDescent="0.25">
      <c r="A101"/>
      <c r="D101"/>
      <c r="E101"/>
      <c r="F101"/>
      <c r="H101"/>
      <c r="N101"/>
    </row>
    <row r="102" spans="1:14" x14ac:dyDescent="0.25">
      <c r="A102"/>
      <c r="D102"/>
      <c r="E102"/>
      <c r="F102"/>
      <c r="H102"/>
      <c r="N102"/>
    </row>
    <row r="103" spans="1:14" x14ac:dyDescent="0.25">
      <c r="A103"/>
      <c r="D103"/>
      <c r="E103"/>
      <c r="F103"/>
      <c r="H103"/>
      <c r="N103"/>
    </row>
    <row r="104" spans="1:14" x14ac:dyDescent="0.25">
      <c r="A104"/>
      <c r="D104"/>
      <c r="E104"/>
      <c r="F104"/>
      <c r="H104"/>
      <c r="N104"/>
    </row>
    <row r="105" spans="1:14" x14ac:dyDescent="0.25">
      <c r="A105"/>
      <c r="D105"/>
      <c r="E105"/>
      <c r="F105"/>
      <c r="H105"/>
      <c r="N105"/>
    </row>
    <row r="106" spans="1:14" x14ac:dyDescent="0.25">
      <c r="A106"/>
      <c r="D106"/>
      <c r="E106"/>
      <c r="F106"/>
      <c r="H106"/>
      <c r="N106"/>
    </row>
    <row r="107" spans="1:14" x14ac:dyDescent="0.25">
      <c r="A107"/>
      <c r="D107"/>
      <c r="E107"/>
      <c r="F107"/>
      <c r="H107"/>
      <c r="N107"/>
    </row>
    <row r="108" spans="1:14" x14ac:dyDescent="0.25">
      <c r="A108"/>
      <c r="D108"/>
      <c r="E108"/>
      <c r="F108"/>
      <c r="H108"/>
      <c r="N108"/>
    </row>
    <row r="109" spans="1:14" x14ac:dyDescent="0.25">
      <c r="A109"/>
      <c r="D109"/>
      <c r="E109"/>
      <c r="F109"/>
      <c r="H109"/>
      <c r="N109"/>
    </row>
    <row r="110" spans="1:14" x14ac:dyDescent="0.25">
      <c r="A110"/>
      <c r="D110"/>
      <c r="E110"/>
      <c r="F110"/>
      <c r="H110"/>
      <c r="N110"/>
    </row>
    <row r="111" spans="1:14" x14ac:dyDescent="0.25">
      <c r="A111"/>
      <c r="D111"/>
      <c r="E111"/>
      <c r="F111"/>
      <c r="H111"/>
      <c r="N111"/>
    </row>
    <row r="112" spans="1:14" x14ac:dyDescent="0.25">
      <c r="A112"/>
      <c r="D112"/>
      <c r="E112"/>
      <c r="F112"/>
      <c r="H112"/>
      <c r="N112"/>
    </row>
    <row r="113" spans="1:14" x14ac:dyDescent="0.25">
      <c r="A113"/>
      <c r="D113"/>
      <c r="E113"/>
      <c r="F113"/>
      <c r="H113"/>
      <c r="N113"/>
    </row>
    <row r="114" spans="1:14" x14ac:dyDescent="0.25">
      <c r="A114"/>
      <c r="D114"/>
      <c r="E114"/>
      <c r="F114"/>
      <c r="H114"/>
      <c r="N114"/>
    </row>
    <row r="115" spans="1:14" x14ac:dyDescent="0.25">
      <c r="A115"/>
      <c r="D115"/>
      <c r="E115"/>
      <c r="F115"/>
      <c r="H115"/>
      <c r="N115"/>
    </row>
    <row r="116" spans="1:14" x14ac:dyDescent="0.25">
      <c r="A116"/>
      <c r="D116"/>
      <c r="E116"/>
      <c r="F116"/>
      <c r="H116"/>
      <c r="N116"/>
    </row>
    <row r="117" spans="1:14" x14ac:dyDescent="0.25">
      <c r="A117"/>
      <c r="D117"/>
      <c r="E117"/>
      <c r="F117"/>
      <c r="H117"/>
      <c r="N117"/>
    </row>
    <row r="118" spans="1:14" x14ac:dyDescent="0.25">
      <c r="A118"/>
      <c r="D118"/>
      <c r="E118"/>
      <c r="F118"/>
      <c r="H118"/>
      <c r="N118"/>
    </row>
    <row r="119" spans="1:14" x14ac:dyDescent="0.25">
      <c r="A119"/>
      <c r="D119"/>
      <c r="E119"/>
      <c r="F119"/>
      <c r="H119"/>
      <c r="N119"/>
    </row>
    <row r="120" spans="1:14" x14ac:dyDescent="0.25">
      <c r="A120"/>
      <c r="D120"/>
      <c r="E120"/>
      <c r="F120"/>
      <c r="H120"/>
      <c r="N120"/>
    </row>
    <row r="121" spans="1:14" x14ac:dyDescent="0.25">
      <c r="A121"/>
      <c r="D121"/>
      <c r="E121"/>
      <c r="F121"/>
      <c r="H121"/>
      <c r="N121"/>
    </row>
    <row r="122" spans="1:14" x14ac:dyDescent="0.25">
      <c r="A122"/>
      <c r="D122"/>
      <c r="E122"/>
      <c r="F122"/>
      <c r="H122"/>
      <c r="N122"/>
    </row>
    <row r="123" spans="1:14" x14ac:dyDescent="0.25">
      <c r="A123"/>
      <c r="D123"/>
      <c r="E123"/>
      <c r="F123"/>
      <c r="H123"/>
      <c r="N123"/>
    </row>
    <row r="124" spans="1:14" x14ac:dyDescent="0.25">
      <c r="A124"/>
      <c r="D124"/>
      <c r="E124"/>
      <c r="F124"/>
      <c r="H124"/>
      <c r="N124"/>
    </row>
    <row r="125" spans="1:14" x14ac:dyDescent="0.25">
      <c r="A125"/>
      <c r="D125"/>
      <c r="E125"/>
      <c r="F125"/>
      <c r="H125"/>
      <c r="N125"/>
    </row>
    <row r="126" spans="1:14" x14ac:dyDescent="0.25">
      <c r="A126"/>
      <c r="D126"/>
      <c r="E126"/>
      <c r="F126"/>
      <c r="H126"/>
      <c r="N126"/>
    </row>
    <row r="127" spans="1:14" x14ac:dyDescent="0.25">
      <c r="A127"/>
      <c r="D127"/>
      <c r="E127"/>
      <c r="F127"/>
      <c r="H127"/>
      <c r="N127"/>
    </row>
    <row r="128" spans="1:14" x14ac:dyDescent="0.25">
      <c r="A128"/>
      <c r="D128"/>
      <c r="E128"/>
      <c r="F128"/>
      <c r="H128"/>
      <c r="N128"/>
    </row>
    <row r="129" spans="1:14" x14ac:dyDescent="0.25">
      <c r="A129"/>
      <c r="D129"/>
      <c r="E129"/>
      <c r="F129"/>
      <c r="H129"/>
      <c r="N129"/>
    </row>
    <row r="130" spans="1:14" x14ac:dyDescent="0.25">
      <c r="A130"/>
      <c r="D130"/>
      <c r="E130"/>
      <c r="F130"/>
      <c r="H130"/>
      <c r="N130"/>
    </row>
    <row r="131" spans="1:14" x14ac:dyDescent="0.25">
      <c r="A131"/>
      <c r="D131"/>
      <c r="E131"/>
      <c r="F131"/>
      <c r="H131"/>
      <c r="N131"/>
    </row>
    <row r="132" spans="1:14" x14ac:dyDescent="0.25">
      <c r="A132"/>
      <c r="D132"/>
      <c r="E132"/>
      <c r="F132"/>
      <c r="H132"/>
      <c r="N132"/>
    </row>
    <row r="133" spans="1:14" x14ac:dyDescent="0.25">
      <c r="A133"/>
      <c r="D133"/>
      <c r="E133"/>
      <c r="F133"/>
      <c r="H133"/>
      <c r="N133"/>
    </row>
    <row r="134" spans="1:14" x14ac:dyDescent="0.25">
      <c r="A134"/>
      <c r="D134"/>
      <c r="E134"/>
      <c r="F134"/>
      <c r="H134"/>
      <c r="N134"/>
    </row>
    <row r="135" spans="1:14" x14ac:dyDescent="0.25">
      <c r="A135"/>
      <c r="D135"/>
      <c r="E135"/>
      <c r="F135"/>
      <c r="H135"/>
      <c r="N135"/>
    </row>
    <row r="136" spans="1:14" x14ac:dyDescent="0.25">
      <c r="A136"/>
      <c r="D136"/>
      <c r="E136"/>
      <c r="F136"/>
      <c r="H136"/>
      <c r="N136"/>
    </row>
    <row r="137" spans="1:14" x14ac:dyDescent="0.25">
      <c r="A137"/>
      <c r="D137"/>
      <c r="E137"/>
      <c r="F137"/>
      <c r="H137"/>
      <c r="N137"/>
    </row>
    <row r="138" spans="1:14" x14ac:dyDescent="0.25">
      <c r="A138"/>
      <c r="D138"/>
      <c r="E138"/>
      <c r="F138"/>
      <c r="H138"/>
      <c r="N138"/>
    </row>
    <row r="139" spans="1:14" x14ac:dyDescent="0.25">
      <c r="A139"/>
      <c r="D139"/>
      <c r="E139"/>
      <c r="F139"/>
      <c r="H139"/>
      <c r="N139"/>
    </row>
    <row r="140" spans="1:14" x14ac:dyDescent="0.25">
      <c r="A140"/>
      <c r="D140"/>
      <c r="E140"/>
      <c r="F140"/>
      <c r="H140"/>
      <c r="N140"/>
    </row>
    <row r="141" spans="1:14" x14ac:dyDescent="0.25">
      <c r="A141"/>
      <c r="D141"/>
      <c r="E141"/>
      <c r="F141"/>
      <c r="H141"/>
      <c r="N141"/>
    </row>
    <row r="142" spans="1:14" x14ac:dyDescent="0.25">
      <c r="A142"/>
      <c r="D142"/>
      <c r="E142"/>
      <c r="F142"/>
      <c r="H142"/>
      <c r="N142"/>
    </row>
    <row r="143" spans="1:14" x14ac:dyDescent="0.25">
      <c r="A143"/>
      <c r="D143"/>
      <c r="E143"/>
      <c r="F143"/>
      <c r="H143"/>
      <c r="N143"/>
    </row>
    <row r="144" spans="1:14" x14ac:dyDescent="0.25">
      <c r="A144"/>
      <c r="D144"/>
      <c r="E144"/>
      <c r="F144"/>
      <c r="H144"/>
      <c r="N144"/>
    </row>
    <row r="145" spans="1:19" x14ac:dyDescent="0.25">
      <c r="A145"/>
      <c r="D145"/>
      <c r="E145"/>
      <c r="F145"/>
      <c r="H145"/>
      <c r="N145"/>
    </row>
    <row r="146" spans="1:19" x14ac:dyDescent="0.25">
      <c r="A146"/>
      <c r="D146"/>
      <c r="E146"/>
      <c r="F146"/>
      <c r="H146"/>
      <c r="N146"/>
    </row>
    <row r="147" spans="1:19" x14ac:dyDescent="0.25">
      <c r="A147"/>
      <c r="D147"/>
      <c r="E147"/>
      <c r="F147"/>
      <c r="H147"/>
      <c r="N147"/>
    </row>
    <row r="148" spans="1:19" x14ac:dyDescent="0.25">
      <c r="S148" s="2"/>
    </row>
    <row r="149" spans="1:19" x14ac:dyDescent="0.25">
      <c r="S149" s="2"/>
    </row>
  </sheetData>
  <sheetProtection selectLockedCells="1"/>
  <customSheetViews>
    <customSheetView guid="{9E44AD80-CA3C-11D2-BAA6-00A0249D5723}" scale="75" showGridLines="0" showRuler="0" topLeftCell="A2">
      <selection activeCell="A13" sqref="A13"/>
      <rowBreaks count="1" manualBreakCount="1">
        <brk id="63" max="16383" man="1"/>
      </rowBreaks>
      <pageMargins left="0.31496062992125984" right="0.27559055118110237" top="0.59055118110236227" bottom="0.39370078740157483" header="0.51181102362204722" footer="0.51181102362204722"/>
      <pageSetup paperSize="9" scale="90" orientation="portrait" verticalDpi="0"/>
      <headerFooter alignWithMargins="0"/>
    </customSheetView>
    <customSheetView guid="{A4778A62-A982-48A3-AF38-C778656415AB}" showGridLines="0" zeroValues="0" topLeftCell="B1">
      <selection activeCell="D12" sqref="D12:F13"/>
      <rowBreaks count="1" manualBreakCount="1">
        <brk id="80" max="18" man="1"/>
      </rowBreaks>
      <pageMargins left="1.1811023622047245" right="0" top="0.22" bottom="0" header="0.24" footer="0.19685039370078741"/>
      <pageSetup paperSize="9" scale="60" orientation="portrait" verticalDpi="400" r:id="rId1"/>
      <headerFooter alignWithMargins="0"/>
    </customSheetView>
  </customSheetViews>
  <mergeCells count="227">
    <mergeCell ref="V39:X40"/>
    <mergeCell ref="D19:F19"/>
    <mergeCell ref="D14:F14"/>
    <mergeCell ref="G12:I12"/>
    <mergeCell ref="G15:I15"/>
    <mergeCell ref="D44:F44"/>
    <mergeCell ref="D43:F43"/>
    <mergeCell ref="G39:I39"/>
    <mergeCell ref="K44:O44"/>
    <mergeCell ref="L42:O42"/>
    <mergeCell ref="H1:R1"/>
    <mergeCell ref="A3:K3"/>
    <mergeCell ref="H2:R2"/>
    <mergeCell ref="D15:F15"/>
    <mergeCell ref="D35:F35"/>
    <mergeCell ref="D37:F37"/>
    <mergeCell ref="A5:C5"/>
    <mergeCell ref="A37:C37"/>
    <mergeCell ref="G11:I11"/>
    <mergeCell ref="D16:F16"/>
    <mergeCell ref="D11:F11"/>
    <mergeCell ref="D12:F12"/>
    <mergeCell ref="D18:F18"/>
    <mergeCell ref="D21:F21"/>
    <mergeCell ref="P9:R9"/>
    <mergeCell ref="Y54:Z55"/>
    <mergeCell ref="Y46:Z47"/>
    <mergeCell ref="AC44:AC45"/>
    <mergeCell ref="Y44:Z45"/>
    <mergeCell ref="AA46:AA47"/>
    <mergeCell ref="AC46:AC47"/>
    <mergeCell ref="AB46:AB47"/>
    <mergeCell ref="AA48:AA49"/>
    <mergeCell ref="AB48:AB49"/>
    <mergeCell ref="AC48:AC49"/>
    <mergeCell ref="AA50:AA51"/>
    <mergeCell ref="AB50:AB51"/>
    <mergeCell ref="AC50:AC51"/>
    <mergeCell ref="AC52:AC53"/>
    <mergeCell ref="AB54:AB55"/>
    <mergeCell ref="AC56:AC57"/>
    <mergeCell ref="AD44:AD45"/>
    <mergeCell ref="AD50:AD51"/>
    <mergeCell ref="AD46:AD47"/>
    <mergeCell ref="AD52:AD53"/>
    <mergeCell ref="AD48:AD49"/>
    <mergeCell ref="AD54:AD55"/>
    <mergeCell ref="AA52:AA53"/>
    <mergeCell ref="AB52:AB53"/>
    <mergeCell ref="AC54:AC55"/>
    <mergeCell ref="D46:F46"/>
    <mergeCell ref="M29:O29"/>
    <mergeCell ref="M30:O30"/>
    <mergeCell ref="G46:I46"/>
    <mergeCell ref="D31:F31"/>
    <mergeCell ref="N47:N48"/>
    <mergeCell ref="Q40:Q41"/>
    <mergeCell ref="D5:K5"/>
    <mergeCell ref="G32:I32"/>
    <mergeCell ref="G37:I37"/>
    <mergeCell ref="G38:I38"/>
    <mergeCell ref="Q28:Q30"/>
    <mergeCell ref="N5:R5"/>
    <mergeCell ref="N6:R6"/>
    <mergeCell ref="G9:I9"/>
    <mergeCell ref="J7:R7"/>
    <mergeCell ref="D45:F45"/>
    <mergeCell ref="D41:F41"/>
    <mergeCell ref="D42:F42"/>
    <mergeCell ref="Q31:Q32"/>
    <mergeCell ref="D9:F9"/>
    <mergeCell ref="F7:G7"/>
    <mergeCell ref="D22:F22"/>
    <mergeCell ref="M45:O45"/>
    <mergeCell ref="AA11:AB11"/>
    <mergeCell ref="AA22:AB22"/>
    <mergeCell ref="AB44:AB45"/>
    <mergeCell ref="AA23:AB23"/>
    <mergeCell ref="AA20:AB20"/>
    <mergeCell ref="AA21:AB21"/>
    <mergeCell ref="D13:F13"/>
    <mergeCell ref="V44:X45"/>
    <mergeCell ref="D40:F40"/>
    <mergeCell ref="D38:F38"/>
    <mergeCell ref="D39:F39"/>
    <mergeCell ref="G45:I45"/>
    <mergeCell ref="AA12:AB12"/>
    <mergeCell ref="AA19:AB19"/>
    <mergeCell ref="AA44:AA45"/>
    <mergeCell ref="AA24:AB24"/>
    <mergeCell ref="Y39:AC40"/>
    <mergeCell ref="W20:W21"/>
    <mergeCell ref="X20:X21"/>
    <mergeCell ref="Y20:Z21"/>
    <mergeCell ref="V41:X43"/>
    <mergeCell ref="Y41:Z43"/>
    <mergeCell ref="D36:F36"/>
    <mergeCell ref="K45:L45"/>
    <mergeCell ref="AD68:AD69"/>
    <mergeCell ref="V64:X65"/>
    <mergeCell ref="Y64:Z65"/>
    <mergeCell ref="Y62:Z63"/>
    <mergeCell ref="AA62:AA63"/>
    <mergeCell ref="AB62:AB63"/>
    <mergeCell ref="AC62:AC63"/>
    <mergeCell ref="V66:X67"/>
    <mergeCell ref="Y66:Z67"/>
    <mergeCell ref="V68:X69"/>
    <mergeCell ref="Y68:Z69"/>
    <mergeCell ref="AA68:AA69"/>
    <mergeCell ref="AB68:AB69"/>
    <mergeCell ref="AC68:AC69"/>
    <mergeCell ref="CU72:CV72"/>
    <mergeCell ref="CS72:CT72"/>
    <mergeCell ref="CU67:CV67"/>
    <mergeCell ref="CS67:CT67"/>
    <mergeCell ref="CS70:CT70"/>
    <mergeCell ref="CS69:CT69"/>
    <mergeCell ref="AA64:AA65"/>
    <mergeCell ref="AB64:AB65"/>
    <mergeCell ref="AC64:AC65"/>
    <mergeCell ref="AD64:AD65"/>
    <mergeCell ref="AA66:AA67"/>
    <mergeCell ref="AB66:AB67"/>
    <mergeCell ref="AC66:AC67"/>
    <mergeCell ref="AD66:AD67"/>
    <mergeCell ref="CU70:CV70"/>
    <mergeCell ref="CU69:CV69"/>
    <mergeCell ref="CU68:CV68"/>
    <mergeCell ref="CS68:CT68"/>
    <mergeCell ref="CS66:CT66"/>
    <mergeCell ref="CS64:CT64"/>
    <mergeCell ref="CU65:CV65"/>
    <mergeCell ref="CU64:CV64"/>
    <mergeCell ref="CS65:CT65"/>
    <mergeCell ref="CU66:CV66"/>
    <mergeCell ref="CW67:CX67"/>
    <mergeCell ref="CY67:CZ67"/>
    <mergeCell ref="CW66:CX66"/>
    <mergeCell ref="CW64:CX64"/>
    <mergeCell ref="CW65:CX65"/>
    <mergeCell ref="CY65:CZ65"/>
    <mergeCell ref="CY66:CZ66"/>
    <mergeCell ref="CY64:CZ64"/>
    <mergeCell ref="CY72:CZ72"/>
    <mergeCell ref="CW68:CX68"/>
    <mergeCell ref="CY70:CZ70"/>
    <mergeCell ref="CY69:CZ69"/>
    <mergeCell ref="CY68:CZ68"/>
    <mergeCell ref="CW72:CX72"/>
    <mergeCell ref="CW69:CX69"/>
    <mergeCell ref="CW70:CX70"/>
    <mergeCell ref="V52:X53"/>
    <mergeCell ref="V48:X49"/>
    <mergeCell ref="Y48:Z49"/>
    <mergeCell ref="Y52:Z53"/>
    <mergeCell ref="CW63:CX63"/>
    <mergeCell ref="CU63:CV63"/>
    <mergeCell ref="CU62:CV62"/>
    <mergeCell ref="CU59:CX59"/>
    <mergeCell ref="CU61:CV61"/>
    <mergeCell ref="V60:X61"/>
    <mergeCell ref="V56:X57"/>
    <mergeCell ref="Y56:Z57"/>
    <mergeCell ref="Y50:Z51"/>
    <mergeCell ref="AB56:AB57"/>
    <mergeCell ref="Y60:Z61"/>
    <mergeCell ref="AC60:AC61"/>
    <mergeCell ref="AB60:AB61"/>
    <mergeCell ref="AA60:AA61"/>
    <mergeCell ref="Y58:Z59"/>
    <mergeCell ref="AA58:AA59"/>
    <mergeCell ref="AB58:AB59"/>
    <mergeCell ref="AC58:AC59"/>
    <mergeCell ref="AA56:AA57"/>
    <mergeCell ref="AA54:AA55"/>
    <mergeCell ref="CY62:CZ62"/>
    <mergeCell ref="AD56:AD57"/>
    <mergeCell ref="AD58:AD59"/>
    <mergeCell ref="CY60:CZ60"/>
    <mergeCell ref="CW61:CX61"/>
    <mergeCell ref="CU60:CV60"/>
    <mergeCell ref="CW60:CX60"/>
    <mergeCell ref="CS58:CT58"/>
    <mergeCell ref="CY58:CZ58"/>
    <mergeCell ref="CY59:CZ59"/>
    <mergeCell ref="CY61:CZ61"/>
    <mergeCell ref="CW58:CX58"/>
    <mergeCell ref="CU58:CV58"/>
    <mergeCell ref="AD62:AD63"/>
    <mergeCell ref="CY63:CZ63"/>
    <mergeCell ref="CW62:CX62"/>
    <mergeCell ref="CS63:CT63"/>
    <mergeCell ref="AD60:AD61"/>
    <mergeCell ref="F82:L82"/>
    <mergeCell ref="D53:F53"/>
    <mergeCell ref="D55:F55"/>
    <mergeCell ref="G54:I54"/>
    <mergeCell ref="G52:I52"/>
    <mergeCell ref="G53:I53"/>
    <mergeCell ref="D51:F51"/>
    <mergeCell ref="D52:F52"/>
    <mergeCell ref="D50:F50"/>
    <mergeCell ref="B73:C73"/>
    <mergeCell ref="G73:I73"/>
    <mergeCell ref="G51:I51"/>
    <mergeCell ref="O50:R50"/>
    <mergeCell ref="D32:F32"/>
    <mergeCell ref="D20:F20"/>
    <mergeCell ref="A72:B72"/>
    <mergeCell ref="D54:F54"/>
    <mergeCell ref="C72:E72"/>
    <mergeCell ref="D48:F48"/>
    <mergeCell ref="G48:I48"/>
    <mergeCell ref="D49:F49"/>
    <mergeCell ref="O55:Q55"/>
    <mergeCell ref="Q44:Q45"/>
    <mergeCell ref="G47:I47"/>
    <mergeCell ref="D23:F23"/>
    <mergeCell ref="D30:F30"/>
    <mergeCell ref="D29:F29"/>
    <mergeCell ref="D26:I26"/>
    <mergeCell ref="D27:I27"/>
    <mergeCell ref="D28:I28"/>
    <mergeCell ref="D25:I25"/>
    <mergeCell ref="D24:F24"/>
    <mergeCell ref="D47:F47"/>
  </mergeCells>
  <phoneticPr fontId="0" type="noConversion"/>
  <pageMargins left="0.78740157480314965" right="0.19685039370078741" top="0.23622047244094491" bottom="0" header="0.23622047244094491" footer="0.19685039370078741"/>
  <pageSetup paperSize="9" scale="66" orientation="portrait" verticalDpi="400" r:id="rId2"/>
  <headerFooter alignWithMargins="0"/>
  <rowBreaks count="1" manualBreakCount="1">
    <brk id="83" max="1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2" r:id="rId5" name="Drop Down 338">
              <controlPr locked="0" defaultSize="0" print="0" autoFill="0" autoLine="0" autoPict="0">
                <anchor>
                  <from>
                    <xdr:col>20</xdr:col>
                    <xdr:colOff>469900</xdr:colOff>
                    <xdr:row>0</xdr:row>
                    <xdr:rowOff>273050</xdr:rowOff>
                  </from>
                  <to>
                    <xdr:col>22</xdr:col>
                    <xdr:colOff>241300</xdr:colOff>
                    <xdr:row>1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I473"/>
  <sheetViews>
    <sheetView zoomScale="115" zoomScaleNormal="115" workbookViewId="0">
      <pane ySplit="7450"/>
      <selection activeCell="C48" sqref="C48"/>
      <selection pane="bottomLeft"/>
    </sheetView>
  </sheetViews>
  <sheetFormatPr baseColWidth="10" defaultColWidth="11.453125" defaultRowHeight="12.5" x14ac:dyDescent="0.25"/>
  <cols>
    <col min="1" max="1" width="11.453125" style="6"/>
    <col min="2" max="2" width="23.453125" style="6" customWidth="1"/>
    <col min="3" max="3" width="11" style="35" customWidth="1"/>
    <col min="4" max="4" width="5.453125" style="35" customWidth="1"/>
    <col min="5" max="5" width="7.08984375" style="35" customWidth="1"/>
    <col min="6" max="6" width="10.453125" style="35" customWidth="1"/>
    <col min="7" max="7" width="9.54296875" style="35" customWidth="1"/>
    <col min="8" max="8" width="5.453125" style="35" customWidth="1"/>
    <col min="9" max="9" width="12" style="35" customWidth="1"/>
    <col min="10" max="10" width="10.36328125" style="35" customWidth="1"/>
    <col min="11" max="19" width="5.453125" style="35" customWidth="1"/>
    <col min="20" max="20" width="6.08984375" style="35" customWidth="1"/>
    <col min="21" max="21" width="6.453125" style="35" customWidth="1"/>
    <col min="22" max="22" width="15.54296875" style="35" customWidth="1"/>
    <col min="23" max="27" width="11.453125" style="6"/>
    <col min="28" max="28" width="20.36328125" style="35" customWidth="1"/>
    <col min="29" max="29" width="7.36328125" style="6" customWidth="1"/>
    <col min="30" max="31" width="6.36328125" style="6" customWidth="1"/>
    <col min="32" max="32" width="6.36328125" style="174" customWidth="1"/>
    <col min="33" max="48" width="6.36328125" style="6" customWidth="1"/>
    <col min="49" max="49" width="6.36328125" style="35" customWidth="1"/>
    <col min="50" max="51" width="6.36328125" style="6" customWidth="1"/>
    <col min="52" max="52" width="6.36328125" style="35" customWidth="1"/>
    <col min="53" max="53" width="6.36328125" style="187" customWidth="1"/>
    <col min="54" max="54" width="6.36328125" style="35" customWidth="1"/>
    <col min="55" max="56" width="6.36328125" style="6" customWidth="1"/>
    <col min="57" max="57" width="6.36328125" style="35" customWidth="1"/>
    <col min="58" max="58" width="6.36328125" style="6" customWidth="1"/>
    <col min="59" max="59" width="6.36328125" style="35" customWidth="1"/>
    <col min="60" max="60" width="6.36328125" style="6" customWidth="1"/>
    <col min="61" max="61" width="6.36328125" style="35" customWidth="1"/>
    <col min="62" max="71" width="6.36328125" style="6" customWidth="1"/>
    <col min="72" max="100" width="5" style="6" customWidth="1"/>
    <col min="101" max="16384" width="11.453125" style="6"/>
  </cols>
  <sheetData>
    <row r="1" spans="1:61" x14ac:dyDescent="0.25">
      <c r="A1" s="6" t="s">
        <v>83</v>
      </c>
    </row>
    <row r="2" spans="1:61" x14ac:dyDescent="0.25">
      <c r="AZ2" s="180"/>
      <c r="BA2" s="188"/>
      <c r="BB2" s="180"/>
    </row>
    <row r="3" spans="1:61" s="7" customFormat="1" ht="13" x14ac:dyDescent="0.25">
      <c r="B3" s="34"/>
      <c r="C3" s="34">
        <v>6.3E-2</v>
      </c>
      <c r="D3" s="34"/>
      <c r="E3" s="34">
        <v>0.13</v>
      </c>
      <c r="F3" s="34"/>
      <c r="G3" s="34">
        <v>0.25</v>
      </c>
      <c r="H3" s="34"/>
      <c r="I3" s="34">
        <v>0.5</v>
      </c>
      <c r="J3" s="34"/>
      <c r="K3" s="34">
        <v>1</v>
      </c>
      <c r="L3" s="34"/>
      <c r="M3" s="34">
        <v>2</v>
      </c>
      <c r="N3" s="34"/>
      <c r="O3" s="34">
        <v>4</v>
      </c>
      <c r="P3" s="34">
        <v>5.6</v>
      </c>
      <c r="Q3" s="34">
        <v>8</v>
      </c>
      <c r="R3" s="34">
        <v>11.2</v>
      </c>
      <c r="S3" s="34">
        <v>16</v>
      </c>
      <c r="T3" s="34">
        <v>22.4</v>
      </c>
      <c r="U3" s="34">
        <v>31.5</v>
      </c>
      <c r="V3" s="34">
        <v>45</v>
      </c>
      <c r="AF3" s="183"/>
      <c r="AG3" s="183"/>
      <c r="AH3" s="183"/>
      <c r="AI3" s="183"/>
      <c r="AJ3" s="183"/>
      <c r="AW3" s="34"/>
      <c r="AZ3" s="34"/>
      <c r="BA3" s="189"/>
      <c r="BB3" s="34"/>
      <c r="BE3" s="34"/>
      <c r="BG3" s="34"/>
      <c r="BI3" s="34"/>
    </row>
    <row r="4" spans="1:61" s="7" customFormat="1" ht="13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AB4" s="181"/>
      <c r="AF4" s="183"/>
      <c r="AG4" s="183"/>
      <c r="AH4" s="183"/>
      <c r="AI4" s="183"/>
      <c r="AJ4" s="183"/>
      <c r="AW4" s="34"/>
      <c r="AZ4" s="34"/>
      <c r="BA4" s="189"/>
      <c r="BE4" s="34"/>
      <c r="BG4" s="193"/>
      <c r="BI4" s="34"/>
    </row>
    <row r="5" spans="1:61" x14ac:dyDescent="0.25">
      <c r="A5" s="6" t="s">
        <v>5</v>
      </c>
      <c r="C5" s="35">
        <f>C7+Tabelle1!G70</f>
        <v>0</v>
      </c>
      <c r="K5" s="35">
        <f>IF(Tabelle1!G66=0,0,$K$7+Tabelle1!G66)</f>
        <v>0</v>
      </c>
      <c r="M5" s="35">
        <f>M7+Tabelle1!G65</f>
        <v>0</v>
      </c>
      <c r="O5" s="35">
        <f>IF(Tabelle1!G64=0,0,IF(Tabelle1!G64=T(Tabelle1!G64),O7+5,O7+Tabelle1!G64))</f>
        <v>0</v>
      </c>
      <c r="Q5" s="35">
        <f>IF(Tabelle1!G62=0,0,IF(Tabelle1!G62=T(Tabelle1!G62),Q7+5,Q7+Tabelle1!G62))</f>
        <v>0</v>
      </c>
      <c r="R5" s="35">
        <f>IF(Tabelle1!G61=0,0,IF(Tabelle1!G61=T(Tabelle1!G61),R7+5,R7+Tabelle1!G61))</f>
        <v>0</v>
      </c>
      <c r="S5" s="36">
        <f>IF(Tabelle1!G60=0,0,IF(Tabelle1!G60=T(Tabelle1!G60),S7+5,S7+Tabelle1!G60))</f>
        <v>0</v>
      </c>
      <c r="T5" s="35">
        <f>IF(Tabelle1!G59=0,0,IF(Tabelle1!G59=T(Tabelle1!G59),T7+5,T7+Tabelle1!G59))</f>
        <v>0</v>
      </c>
      <c r="U5" s="35">
        <f>IF(Tabelle1!G58=0,0,IF(Tabelle1!G58=T(Tabelle1!G58),U7+5,U7+Tabelle1!G58))</f>
        <v>0</v>
      </c>
      <c r="AC5" s="35"/>
      <c r="AD5" s="35"/>
      <c r="AE5" s="35"/>
      <c r="AF5" s="183"/>
      <c r="AG5" s="183"/>
      <c r="AH5" s="183"/>
      <c r="AI5" s="183"/>
      <c r="AJ5" s="183"/>
      <c r="AK5" s="35"/>
      <c r="AL5" s="35"/>
      <c r="AM5" s="35"/>
      <c r="AN5" s="35"/>
      <c r="AO5" s="35"/>
      <c r="AZ5" s="180"/>
      <c r="BB5" s="180"/>
      <c r="BE5" s="190"/>
      <c r="BG5" s="190"/>
      <c r="BI5" s="180"/>
    </row>
    <row r="6" spans="1:61" ht="13" x14ac:dyDescent="0.25">
      <c r="A6" s="6" t="s">
        <v>6</v>
      </c>
      <c r="C6" s="35">
        <f>C7-Tabelle1!G70</f>
        <v>0</v>
      </c>
      <c r="K6" s="35">
        <f>IF(Tabelle1!G66=0,0,$K$7-Tabelle1!G66)</f>
        <v>0</v>
      </c>
      <c r="M6" s="35">
        <f>M7-Tabelle1!G65</f>
        <v>0</v>
      </c>
      <c r="O6" s="35">
        <f>IF(Tabelle1!G64=0,0,IF(Tabelle1!G64=T(Tabelle1!G64),O7-8,O7-Tabelle1!G64))</f>
        <v>0</v>
      </c>
      <c r="Q6" s="35">
        <f>IF(Tabelle1!G62=0,0,IF(Tabelle1!G62=T(Tabelle1!G62),Q7-8,Q7-Tabelle1!G62))</f>
        <v>0</v>
      </c>
      <c r="R6" s="35">
        <f>IF(Tabelle1!G61=0,0,IF(Tabelle1!G61=T(Tabelle1!G61),R7-8,R7-Tabelle1!G61))</f>
        <v>0</v>
      </c>
      <c r="S6" s="36">
        <f>IF(Tabelle1!G60=0,0,IF(Tabelle1!G60=T(Tabelle1!G60),S7-9,S7-Tabelle1!G60))</f>
        <v>0</v>
      </c>
      <c r="T6" s="35">
        <f>IF(Tabelle1!G59=0,0,IF(Tabelle1!G59=T(Tabelle1!G59),T7-9,T7-Tabelle1!G59))</f>
        <v>0</v>
      </c>
      <c r="U6" s="35">
        <f>IF(Tabelle1!G58=0,0,IF(Tabelle1!G58=T(Tabelle1!G58),U7-9,U7-Tabelle1!G58))</f>
        <v>0</v>
      </c>
      <c r="AF6" s="183"/>
      <c r="AG6" s="183"/>
      <c r="AH6" s="183"/>
      <c r="AI6" s="183"/>
      <c r="AJ6" s="183"/>
      <c r="AW6" s="180"/>
      <c r="AZ6" s="180"/>
      <c r="BB6" s="180"/>
      <c r="BD6" s="7"/>
      <c r="BE6" s="190"/>
      <c r="BG6" s="190"/>
      <c r="BI6" s="180"/>
    </row>
    <row r="7" spans="1:61" ht="13" x14ac:dyDescent="0.25">
      <c r="A7" s="35" t="s">
        <v>3</v>
      </c>
      <c r="C7" s="35">
        <f>Tabelle1!F70</f>
        <v>0</v>
      </c>
      <c r="E7" s="35">
        <f>Tabelle1!F69</f>
        <v>0</v>
      </c>
      <c r="G7" s="35">
        <f>Tabelle1!F68</f>
        <v>0</v>
      </c>
      <c r="I7" s="35">
        <f>Tabelle1!F67</f>
        <v>0</v>
      </c>
      <c r="K7" s="35">
        <f>Tabelle1!F66</f>
        <v>0</v>
      </c>
      <c r="M7" s="35">
        <f>Tabelle1!F65</f>
        <v>0</v>
      </c>
      <c r="O7" s="35">
        <f>Tabelle1!F64</f>
        <v>0</v>
      </c>
      <c r="P7" s="35">
        <f>Tabelle1!F63</f>
        <v>0</v>
      </c>
      <c r="Q7" s="35">
        <f>Tabelle1!F62</f>
        <v>0</v>
      </c>
      <c r="R7" s="35">
        <f>Tabelle1!F61</f>
        <v>0</v>
      </c>
      <c r="S7" s="35">
        <f>Tabelle1!F60</f>
        <v>0</v>
      </c>
      <c r="T7" s="36">
        <f>Tabelle1!F59</f>
        <v>0</v>
      </c>
      <c r="U7" s="36">
        <f>Tabelle1!F58</f>
        <v>0</v>
      </c>
      <c r="V7" s="36"/>
      <c r="AB7" s="180"/>
      <c r="AF7" s="183"/>
      <c r="AG7" s="183"/>
      <c r="AH7" s="183"/>
      <c r="AI7" s="183"/>
      <c r="AJ7" s="183"/>
      <c r="BE7" s="190"/>
      <c r="BF7" s="7"/>
      <c r="BG7" s="190"/>
      <c r="BH7" s="7"/>
    </row>
    <row r="8" spans="1:61" ht="13" x14ac:dyDescent="0.25">
      <c r="A8" s="35" t="s">
        <v>84</v>
      </c>
      <c r="B8" s="6">
        <f>IF(Tabelle1!$T$7=1,0,Tabelle1!$J$7)</f>
        <v>0</v>
      </c>
      <c r="C8" s="37">
        <f>IF(Tabelle1!$T$7=1,0,VLOOKUP(Tabelle2!$B$8,Tabelle2!$B$14:$V$75,2,FALSE))</f>
        <v>0</v>
      </c>
      <c r="D8" s="37"/>
      <c r="E8" s="37"/>
      <c r="F8" s="37"/>
      <c r="G8" s="37"/>
      <c r="H8" s="37"/>
      <c r="I8" s="37">
        <f>IF(Tabelle1!$T$7=1,0,VLOOKUP(Tabelle2!$B$8,Tabelle2!$B$14:$V$75,8,FALSE))</f>
        <v>0</v>
      </c>
      <c r="J8" s="37"/>
      <c r="K8" s="37">
        <f>IF(Tabelle1!$T$7=1,0,VLOOKUP(Tabelle2!$B$8,Tabelle2!$B$14:$V$75,10,FALSE))</f>
        <v>0</v>
      </c>
      <c r="L8" s="37"/>
      <c r="M8" s="37">
        <f>IF(Tabelle1!$T$7=1,0,VLOOKUP(Tabelle2!$B$8,Tabelle2!$B$14:$V$75,12,FALSE))</f>
        <v>0</v>
      </c>
      <c r="N8" s="37"/>
      <c r="O8" s="37">
        <f>IF(Tabelle1!$T$7=1,0,VLOOKUP(Tabelle2!$B$8,Tabelle2!$B$14:$V$75,14,FALSE))</f>
        <v>0</v>
      </c>
      <c r="P8" s="37">
        <f>IF(Tabelle1!$T$7=1,0,VLOOKUP(Tabelle2!$B$8,Tabelle2!$B$14:$V$75,15,FALSE))</f>
        <v>0</v>
      </c>
      <c r="Q8" s="37">
        <f>IF(Tabelle1!$T$7=1,0,VLOOKUP(Tabelle2!$B$8,Tabelle2!$B$14:$V$75,16,FALSE))</f>
        <v>0</v>
      </c>
      <c r="R8" s="37">
        <f>IF(Tabelle1!$T$7=1,0,VLOOKUP(Tabelle2!$B$8,Tabelle2!$B$14:$V$75,17,FALSE))</f>
        <v>0</v>
      </c>
      <c r="S8" s="37">
        <f>IF(Tabelle1!$T$7=1,0,VLOOKUP(Tabelle2!$B$8,Tabelle2!$B$14:$V$75,18,FALSE))</f>
        <v>0</v>
      </c>
      <c r="T8" s="37">
        <f>IF(Tabelle1!$T$7=1,0,VLOOKUP(Tabelle2!$B$8,Tabelle2!$B$14:$V$75,19,FALSE))</f>
        <v>0</v>
      </c>
      <c r="U8" s="37">
        <f>IF(Tabelle1!$T$7=1,0,VLOOKUP(Tabelle2!$B$8,Tabelle2!$B$14:$V$75,20,FALSE))</f>
        <v>0</v>
      </c>
      <c r="V8" s="37">
        <f>IF(Tabelle1!$T$7=1,0,VLOOKUP(Tabelle2!$B$8,Tabelle2!$B$14:$V$75,21,FALSE))</f>
        <v>0</v>
      </c>
      <c r="AB8" s="180"/>
      <c r="AF8" s="183"/>
      <c r="AG8" s="183"/>
      <c r="AH8" s="183"/>
      <c r="AI8" s="183"/>
      <c r="AJ8" s="183"/>
      <c r="BD8" s="7"/>
      <c r="BE8" s="190"/>
      <c r="BG8" s="190"/>
      <c r="BI8" s="180"/>
    </row>
    <row r="9" spans="1:61" x14ac:dyDescent="0.25">
      <c r="A9" s="35" t="s">
        <v>85</v>
      </c>
      <c r="B9" s="6">
        <f>IF(Tabelle1!$T$7=1,0,Tabelle1!$J$7)</f>
        <v>0</v>
      </c>
      <c r="C9" s="37">
        <f>IF(Tabelle1!$T$7=1,0,VLOOKUP(Tabelle2!$B$9,Tabelle2!$B$80:$V$141,2,FALSE))</f>
        <v>0</v>
      </c>
      <c r="D9" s="37"/>
      <c r="E9" s="37"/>
      <c r="F9" s="37"/>
      <c r="G9" s="37"/>
      <c r="H9" s="37"/>
      <c r="I9" s="37">
        <f>IF(Tabelle1!$T$7=1,0,VLOOKUP(Tabelle2!$B$9,$B$80:$V$141,8,FALSE))</f>
        <v>0</v>
      </c>
      <c r="J9" s="37"/>
      <c r="K9" s="37">
        <f>IF(Tabelle1!$T$7=1,0,VLOOKUP(Tabelle2!$B$9,$B$80:$V$141,10,FALSE))</f>
        <v>0</v>
      </c>
      <c r="L9" s="37"/>
      <c r="M9" s="37">
        <f>IF(Tabelle1!$T$7=1,0,VLOOKUP(Tabelle2!$B$9,$B$80:$V$141,12,FALSE))</f>
        <v>0</v>
      </c>
      <c r="N9" s="37"/>
      <c r="O9" s="37">
        <f>IF(Tabelle1!$T$7=1,0,VLOOKUP(Tabelle2!$B$9,$B$80:$V$141,14,FALSE))</f>
        <v>0</v>
      </c>
      <c r="P9" s="37">
        <f>IF(Tabelle1!$T$7=1,0,VLOOKUP(Tabelle2!$B$9,$B$80:$V$141,15,FALSE))</f>
        <v>0</v>
      </c>
      <c r="Q9" s="37">
        <f>IF(Tabelle1!$T$7=1,0,VLOOKUP(Tabelle2!$B$9,$B$80:$V$141,16,FALSE))</f>
        <v>0</v>
      </c>
      <c r="R9" s="37">
        <f>IF(Tabelle1!$T$7=1,0,VLOOKUP(Tabelle2!$B$9,$B$80:$V$141,17,FALSE))</f>
        <v>0</v>
      </c>
      <c r="S9" s="37">
        <f>IF(Tabelle1!$T$7=1,0,VLOOKUP(Tabelle2!$B$9,$B$80:$V$141,18,FALSE))</f>
        <v>0</v>
      </c>
      <c r="T9" s="37">
        <f>IF(Tabelle1!$T$7=1,0,VLOOKUP(Tabelle2!$B$9,$B$80:$V$141,19,FALSE))</f>
        <v>0</v>
      </c>
      <c r="U9" s="37">
        <f>IF(Tabelle1!$T$7=1,0,VLOOKUP(Tabelle2!$B$9,$B$80:$V$141,20,FALSE))</f>
        <v>0</v>
      </c>
      <c r="V9" s="37">
        <f>IF(Tabelle1!$T$7=1,0,VLOOKUP(Tabelle2!$B$9,$B$80:$V$141,21,FALSE))</f>
        <v>0</v>
      </c>
      <c r="AB9" s="180"/>
      <c r="AF9" s="183"/>
      <c r="AG9" s="183"/>
      <c r="AH9" s="183"/>
      <c r="AI9" s="183"/>
      <c r="AJ9" s="183"/>
      <c r="AK9" s="35"/>
      <c r="AL9" s="35"/>
      <c r="AM9" s="35"/>
      <c r="AN9" s="35"/>
      <c r="AO9" s="35"/>
      <c r="AP9" s="35"/>
      <c r="BE9" s="190"/>
      <c r="BG9" s="190"/>
      <c r="BI9" s="180"/>
    </row>
    <row r="10" spans="1:61" ht="13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AB10" s="180"/>
      <c r="AF10" s="183"/>
      <c r="AG10" s="183"/>
      <c r="AH10" s="183"/>
      <c r="AI10" s="183"/>
      <c r="AJ10" s="183"/>
      <c r="AK10" s="35"/>
      <c r="AL10" s="35"/>
      <c r="AM10" s="35"/>
      <c r="AN10" s="35"/>
      <c r="AO10" s="35"/>
      <c r="AP10" s="35"/>
      <c r="BD10" s="7"/>
      <c r="BE10" s="190"/>
      <c r="BF10" s="7"/>
      <c r="BG10" s="190"/>
      <c r="BH10" s="7"/>
    </row>
    <row r="11" spans="1:61" ht="15.5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AB11" s="180"/>
      <c r="AG11" s="35"/>
      <c r="AH11" s="182"/>
      <c r="AI11" s="35"/>
      <c r="AJ11" s="35"/>
      <c r="AK11" s="35"/>
      <c r="AL11" s="35"/>
      <c r="AM11" s="35"/>
      <c r="AN11" s="35"/>
      <c r="AO11" s="35"/>
      <c r="AP11" s="35"/>
      <c r="BE11" s="190"/>
      <c r="BG11" s="190"/>
      <c r="BI11" s="180"/>
    </row>
    <row r="12" spans="1:61" ht="13" x14ac:dyDescent="0.25">
      <c r="B12" s="38" t="s">
        <v>86</v>
      </c>
      <c r="C12" s="37"/>
      <c r="D12" s="131"/>
      <c r="E12" s="37" t="s">
        <v>63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AB12" s="180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BD12" s="7"/>
      <c r="BE12" s="190"/>
      <c r="BG12" s="190"/>
      <c r="BI12" s="180"/>
    </row>
    <row r="13" spans="1:61" ht="12.75" customHeight="1" x14ac:dyDescent="0.25">
      <c r="A13" s="254">
        <v>1</v>
      </c>
      <c r="B13" s="39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AB13" s="180"/>
      <c r="AG13" s="35"/>
      <c r="AH13" s="184"/>
      <c r="AI13" s="184"/>
      <c r="AJ13" s="184"/>
      <c r="AK13" s="184"/>
      <c r="AL13" s="184"/>
      <c r="AM13" s="184"/>
      <c r="AN13" s="184"/>
      <c r="AO13" s="184"/>
      <c r="AP13" s="35"/>
      <c r="BE13" s="190"/>
      <c r="BF13" s="7"/>
      <c r="BG13" s="190"/>
      <c r="BH13" s="7"/>
    </row>
    <row r="14" spans="1:61" ht="12.75" customHeight="1" x14ac:dyDescent="0.25">
      <c r="A14" s="254">
        <f>A13+1</f>
        <v>2</v>
      </c>
      <c r="B14" s="168" t="s">
        <v>89</v>
      </c>
      <c r="C14" s="253">
        <v>6</v>
      </c>
      <c r="D14" s="253"/>
      <c r="E14" s="253"/>
      <c r="F14" s="253"/>
      <c r="G14" s="253"/>
      <c r="H14" s="253"/>
      <c r="I14" s="253">
        <v>23</v>
      </c>
      <c r="J14" s="253"/>
      <c r="K14" s="253">
        <v>37</v>
      </c>
      <c r="L14" s="253"/>
      <c r="M14" s="253">
        <v>57</v>
      </c>
      <c r="N14" s="253"/>
      <c r="O14" s="253">
        <v>90</v>
      </c>
      <c r="P14" s="253">
        <v>100</v>
      </c>
      <c r="Q14" s="253">
        <v>100</v>
      </c>
      <c r="R14" s="253">
        <v>100</v>
      </c>
      <c r="S14" s="253">
        <v>100</v>
      </c>
      <c r="T14" s="253">
        <v>100</v>
      </c>
      <c r="U14" s="253">
        <v>100</v>
      </c>
      <c r="V14" s="253">
        <v>100</v>
      </c>
      <c r="AB14" s="180"/>
      <c r="AG14" s="35"/>
      <c r="AH14" s="184"/>
      <c r="AI14" s="184"/>
      <c r="AJ14" s="184"/>
      <c r="AK14" s="184"/>
      <c r="AL14" s="184"/>
      <c r="AM14" s="184"/>
      <c r="AN14" s="184"/>
      <c r="AO14" s="184"/>
      <c r="AP14" s="35"/>
      <c r="BD14" s="7"/>
      <c r="BE14" s="190"/>
      <c r="BG14" s="190"/>
      <c r="BI14" s="180"/>
    </row>
    <row r="15" spans="1:61" x14ac:dyDescent="0.25">
      <c r="A15" s="254">
        <f t="shared" ref="A15:A56" si="0">A14+1</f>
        <v>3</v>
      </c>
      <c r="B15" s="168" t="s">
        <v>90</v>
      </c>
      <c r="C15" s="253">
        <v>6</v>
      </c>
      <c r="D15" s="253"/>
      <c r="E15" s="253"/>
      <c r="F15" s="253"/>
      <c r="G15" s="253"/>
      <c r="H15" s="253"/>
      <c r="I15" s="253">
        <v>16</v>
      </c>
      <c r="J15" s="253"/>
      <c r="K15" s="253">
        <v>25</v>
      </c>
      <c r="L15" s="253"/>
      <c r="M15" s="253">
        <v>38</v>
      </c>
      <c r="N15" s="253"/>
      <c r="O15" s="253">
        <v>58</v>
      </c>
      <c r="P15" s="253">
        <v>72</v>
      </c>
      <c r="Q15" s="253">
        <v>90</v>
      </c>
      <c r="R15" s="253">
        <v>100</v>
      </c>
      <c r="S15" s="253">
        <v>100</v>
      </c>
      <c r="T15" s="253">
        <v>100</v>
      </c>
      <c r="U15" s="253">
        <v>100</v>
      </c>
      <c r="V15" s="253">
        <v>100</v>
      </c>
      <c r="AB15" s="180"/>
      <c r="AC15" s="35"/>
      <c r="AD15" s="35"/>
      <c r="AE15" s="35"/>
      <c r="AG15" s="35"/>
      <c r="AH15" s="171"/>
      <c r="AI15" s="171"/>
      <c r="AJ15" s="171"/>
      <c r="AK15" s="171"/>
      <c r="AL15" s="171"/>
      <c r="AM15" s="172"/>
      <c r="AN15" s="172"/>
      <c r="AO15" s="172"/>
      <c r="AP15" s="172"/>
      <c r="BE15" s="190"/>
      <c r="BG15" s="190"/>
      <c r="BI15" s="180"/>
    </row>
    <row r="16" spans="1:61" ht="13" x14ac:dyDescent="0.25">
      <c r="A16" s="254">
        <f t="shared" si="0"/>
        <v>4</v>
      </c>
      <c r="B16" s="168" t="s">
        <v>87</v>
      </c>
      <c r="C16" s="253">
        <v>5</v>
      </c>
      <c r="D16" s="253"/>
      <c r="E16" s="253"/>
      <c r="F16" s="253"/>
      <c r="G16" s="253"/>
      <c r="H16" s="253"/>
      <c r="I16" s="253">
        <v>14</v>
      </c>
      <c r="J16" s="253"/>
      <c r="K16" s="253">
        <v>20</v>
      </c>
      <c r="L16" s="253"/>
      <c r="M16" s="253">
        <v>31</v>
      </c>
      <c r="N16" s="253"/>
      <c r="O16" s="253">
        <v>47</v>
      </c>
      <c r="P16" s="253">
        <f>(O16+Q16)/2</f>
        <v>59.5</v>
      </c>
      <c r="Q16" s="253">
        <v>72</v>
      </c>
      <c r="R16" s="253">
        <v>90</v>
      </c>
      <c r="S16" s="253">
        <v>100</v>
      </c>
      <c r="T16" s="253">
        <v>100</v>
      </c>
      <c r="U16" s="253">
        <v>100</v>
      </c>
      <c r="V16" s="253">
        <v>100</v>
      </c>
      <c r="AB16" s="180"/>
      <c r="AC16" s="35"/>
      <c r="AD16" s="35"/>
      <c r="AE16" s="35"/>
      <c r="AG16" s="35"/>
      <c r="AH16" s="171"/>
      <c r="AI16" s="171"/>
      <c r="AJ16" s="171"/>
      <c r="AK16" s="171"/>
      <c r="AL16" s="171"/>
      <c r="AM16" s="172"/>
      <c r="AN16" s="172"/>
      <c r="AO16" s="172"/>
      <c r="AP16" s="172"/>
      <c r="BD16" s="7"/>
      <c r="BE16" s="190"/>
      <c r="BF16" s="7"/>
      <c r="BG16" s="190"/>
      <c r="BH16" s="7"/>
    </row>
    <row r="17" spans="1:61" x14ac:dyDescent="0.25">
      <c r="A17" s="254">
        <f t="shared" si="0"/>
        <v>5</v>
      </c>
      <c r="B17" s="168" t="s">
        <v>88</v>
      </c>
      <c r="C17" s="253">
        <v>4</v>
      </c>
      <c r="D17" s="253"/>
      <c r="E17" s="253"/>
      <c r="F17" s="253"/>
      <c r="G17" s="253"/>
      <c r="H17" s="253"/>
      <c r="I17" s="253">
        <v>11</v>
      </c>
      <c r="J17" s="253"/>
      <c r="K17" s="253">
        <v>17</v>
      </c>
      <c r="L17" s="253"/>
      <c r="M17" s="253">
        <v>25</v>
      </c>
      <c r="N17" s="253"/>
      <c r="O17" s="253">
        <v>38</v>
      </c>
      <c r="P17" s="253">
        <f>(O17+Q17)/2</f>
        <v>48</v>
      </c>
      <c r="Q17" s="253">
        <v>58</v>
      </c>
      <c r="R17" s="253">
        <f>(Q17+S17)/2</f>
        <v>74</v>
      </c>
      <c r="S17" s="253">
        <v>90</v>
      </c>
      <c r="T17" s="253">
        <v>100</v>
      </c>
      <c r="U17" s="253">
        <v>100</v>
      </c>
      <c r="V17" s="253">
        <v>100</v>
      </c>
      <c r="AB17" s="180"/>
      <c r="AC17" s="35"/>
      <c r="AD17" s="35"/>
      <c r="AE17" s="35"/>
      <c r="AG17" s="35"/>
      <c r="AH17" s="171"/>
      <c r="AI17" s="171"/>
      <c r="AJ17" s="171"/>
      <c r="AK17" s="171"/>
      <c r="AL17" s="171"/>
      <c r="AM17" s="172"/>
      <c r="AN17" s="172"/>
      <c r="AO17" s="172"/>
      <c r="AP17" s="172"/>
      <c r="BE17" s="190"/>
      <c r="BI17" s="180"/>
    </row>
    <row r="18" spans="1:61" ht="13" x14ac:dyDescent="0.25">
      <c r="A18" s="254">
        <f t="shared" si="0"/>
        <v>6</v>
      </c>
      <c r="B18" s="168" t="s">
        <v>153</v>
      </c>
      <c r="C18" s="253">
        <v>6</v>
      </c>
      <c r="D18" s="253"/>
      <c r="E18" s="253"/>
      <c r="F18" s="253"/>
      <c r="G18" s="253"/>
      <c r="H18" s="253"/>
      <c r="I18" s="253">
        <v>16</v>
      </c>
      <c r="J18" s="253"/>
      <c r="K18" s="253">
        <v>25</v>
      </c>
      <c r="L18" s="253"/>
      <c r="M18" s="253">
        <v>38</v>
      </c>
      <c r="N18" s="253"/>
      <c r="O18" s="253">
        <v>58</v>
      </c>
      <c r="P18" s="253">
        <v>72</v>
      </c>
      <c r="Q18" s="253">
        <v>90</v>
      </c>
      <c r="R18" s="253">
        <v>100</v>
      </c>
      <c r="S18" s="253">
        <v>100</v>
      </c>
      <c r="T18" s="253">
        <v>100</v>
      </c>
      <c r="U18" s="253">
        <v>100</v>
      </c>
      <c r="V18" s="253">
        <v>100</v>
      </c>
      <c r="AB18" s="180"/>
      <c r="AC18" s="35"/>
      <c r="AD18" s="35"/>
      <c r="AE18" s="35"/>
      <c r="AG18" s="35"/>
      <c r="BD18" s="7"/>
      <c r="BE18" s="190"/>
      <c r="BI18" s="180"/>
    </row>
    <row r="19" spans="1:61" ht="13" x14ac:dyDescent="0.25">
      <c r="A19" s="254">
        <f t="shared" si="0"/>
        <v>7</v>
      </c>
      <c r="B19" s="168" t="s">
        <v>154</v>
      </c>
      <c r="C19" s="253">
        <v>6</v>
      </c>
      <c r="D19" s="253"/>
      <c r="E19" s="253"/>
      <c r="F19" s="253"/>
      <c r="G19" s="253"/>
      <c r="H19" s="253"/>
      <c r="I19" s="253">
        <v>16</v>
      </c>
      <c r="J19" s="253"/>
      <c r="K19" s="253">
        <v>25</v>
      </c>
      <c r="L19" s="253"/>
      <c r="M19" s="253">
        <v>38</v>
      </c>
      <c r="N19" s="253"/>
      <c r="O19" s="253">
        <v>58</v>
      </c>
      <c r="P19" s="253">
        <v>72</v>
      </c>
      <c r="Q19" s="253">
        <v>90</v>
      </c>
      <c r="R19" s="253">
        <v>100</v>
      </c>
      <c r="S19" s="253">
        <v>100</v>
      </c>
      <c r="T19" s="253">
        <v>100</v>
      </c>
      <c r="U19" s="253">
        <v>100</v>
      </c>
      <c r="V19" s="253">
        <v>100</v>
      </c>
      <c r="AB19" s="180"/>
      <c r="AC19" s="35"/>
      <c r="AD19" s="35"/>
      <c r="AE19" s="35"/>
      <c r="AG19" s="35"/>
      <c r="BE19" s="190"/>
      <c r="BH19" s="7"/>
    </row>
    <row r="20" spans="1:61" ht="13" x14ac:dyDescent="0.25">
      <c r="A20" s="254">
        <f t="shared" si="0"/>
        <v>8</v>
      </c>
      <c r="B20" s="168" t="s">
        <v>157</v>
      </c>
      <c r="C20" s="253">
        <v>6</v>
      </c>
      <c r="D20" s="253"/>
      <c r="E20" s="253"/>
      <c r="F20" s="253"/>
      <c r="G20" s="253"/>
      <c r="H20" s="253"/>
      <c r="I20" s="253">
        <v>16</v>
      </c>
      <c r="J20" s="253"/>
      <c r="K20" s="253">
        <v>25</v>
      </c>
      <c r="L20" s="253"/>
      <c r="M20" s="253">
        <v>38</v>
      </c>
      <c r="N20" s="253"/>
      <c r="O20" s="253">
        <v>58</v>
      </c>
      <c r="P20" s="253">
        <v>72</v>
      </c>
      <c r="Q20" s="253">
        <v>90</v>
      </c>
      <c r="R20" s="253">
        <v>100</v>
      </c>
      <c r="S20" s="253">
        <v>100</v>
      </c>
      <c r="T20" s="253">
        <v>100</v>
      </c>
      <c r="U20" s="253">
        <v>100</v>
      </c>
      <c r="V20" s="253">
        <v>100</v>
      </c>
      <c r="AB20" s="180"/>
      <c r="AC20" s="35"/>
      <c r="AD20" s="35"/>
      <c r="AE20" s="35"/>
      <c r="AG20" s="35"/>
      <c r="AH20" s="35"/>
      <c r="AI20" s="35"/>
      <c r="AJ20" s="35"/>
      <c r="AP20" s="257"/>
      <c r="BD20" s="7"/>
      <c r="BE20" s="190"/>
      <c r="BI20" s="180"/>
    </row>
    <row r="21" spans="1:61" x14ac:dyDescent="0.25">
      <c r="A21" s="254">
        <f t="shared" si="0"/>
        <v>9</v>
      </c>
      <c r="B21" s="168" t="s">
        <v>158</v>
      </c>
      <c r="C21" s="253">
        <v>6</v>
      </c>
      <c r="D21" s="253"/>
      <c r="E21" s="253"/>
      <c r="F21" s="253"/>
      <c r="G21" s="253"/>
      <c r="H21" s="253"/>
      <c r="I21" s="253">
        <v>13</v>
      </c>
      <c r="J21" s="253"/>
      <c r="K21" s="253">
        <f>(I21+M21)/2</f>
        <v>17</v>
      </c>
      <c r="L21" s="253"/>
      <c r="M21" s="253">
        <v>21</v>
      </c>
      <c r="N21" s="253"/>
      <c r="O21" s="253">
        <v>32</v>
      </c>
      <c r="P21" s="253">
        <f t="shared" ref="P21:P28" si="1">(O21+Q21)/2</f>
        <v>61</v>
      </c>
      <c r="Q21" s="253">
        <v>90</v>
      </c>
      <c r="R21" s="253">
        <v>100</v>
      </c>
      <c r="S21" s="253">
        <v>100</v>
      </c>
      <c r="T21" s="253">
        <v>100</v>
      </c>
      <c r="U21" s="253">
        <v>100</v>
      </c>
      <c r="V21" s="253">
        <v>100</v>
      </c>
      <c r="AB21" s="180"/>
      <c r="AC21" s="35"/>
      <c r="AD21" s="35"/>
      <c r="AE21" s="35"/>
      <c r="AG21" s="35"/>
      <c r="AH21" s="35"/>
      <c r="AI21" s="35"/>
      <c r="AJ21" s="35"/>
      <c r="BE21" s="190"/>
      <c r="BI21" s="180"/>
    </row>
    <row r="22" spans="1:61" ht="13" x14ac:dyDescent="0.25">
      <c r="A22" s="254">
        <f t="shared" si="0"/>
        <v>10</v>
      </c>
      <c r="B22" s="168" t="s">
        <v>159</v>
      </c>
      <c r="C22" s="253">
        <v>5</v>
      </c>
      <c r="D22" s="253"/>
      <c r="E22" s="253"/>
      <c r="F22" s="253"/>
      <c r="G22" s="253"/>
      <c r="H22" s="253"/>
      <c r="I22" s="253">
        <v>9</v>
      </c>
      <c r="J22" s="253"/>
      <c r="K22" s="253">
        <f>(I22+M22)/2</f>
        <v>12.5</v>
      </c>
      <c r="L22" s="253"/>
      <c r="M22" s="253">
        <v>16</v>
      </c>
      <c r="N22" s="253"/>
      <c r="O22" s="253">
        <v>23</v>
      </c>
      <c r="P22" s="253">
        <f t="shared" si="1"/>
        <v>26.5</v>
      </c>
      <c r="Q22" s="253">
        <v>30</v>
      </c>
      <c r="R22" s="253">
        <v>90</v>
      </c>
      <c r="S22" s="253">
        <v>100</v>
      </c>
      <c r="T22" s="253">
        <v>100</v>
      </c>
      <c r="U22" s="253">
        <v>100</v>
      </c>
      <c r="V22" s="253">
        <v>100</v>
      </c>
      <c r="AB22" s="180"/>
      <c r="AC22" s="35"/>
      <c r="AD22" s="35"/>
      <c r="AE22" s="35"/>
      <c r="AG22" s="35"/>
      <c r="BD22" s="7"/>
      <c r="BE22" s="190"/>
      <c r="BH22" s="7"/>
    </row>
    <row r="23" spans="1:61" x14ac:dyDescent="0.25">
      <c r="A23" s="254">
        <f t="shared" si="0"/>
        <v>11</v>
      </c>
      <c r="B23" s="168" t="s">
        <v>135</v>
      </c>
      <c r="C23" s="253">
        <v>5</v>
      </c>
      <c r="D23" s="253"/>
      <c r="E23" s="253"/>
      <c r="F23" s="253"/>
      <c r="G23" s="253"/>
      <c r="H23" s="253"/>
      <c r="I23" s="253">
        <v>14</v>
      </c>
      <c r="J23" s="253"/>
      <c r="K23" s="253">
        <v>20</v>
      </c>
      <c r="L23" s="253"/>
      <c r="M23" s="253">
        <v>31</v>
      </c>
      <c r="N23" s="253"/>
      <c r="O23" s="253">
        <v>47</v>
      </c>
      <c r="P23" s="253">
        <f t="shared" si="1"/>
        <v>59.5</v>
      </c>
      <c r="Q23" s="253">
        <v>72</v>
      </c>
      <c r="R23" s="253">
        <v>90</v>
      </c>
      <c r="S23" s="253">
        <v>100</v>
      </c>
      <c r="T23" s="253">
        <v>100</v>
      </c>
      <c r="U23" s="253">
        <v>100</v>
      </c>
      <c r="V23" s="253">
        <v>100</v>
      </c>
      <c r="AB23" s="180"/>
      <c r="AC23" s="35"/>
      <c r="AD23" s="35"/>
      <c r="AE23" s="35"/>
      <c r="AG23" s="35"/>
      <c r="BE23" s="190"/>
      <c r="BI23" s="180"/>
    </row>
    <row r="24" spans="1:61" ht="13" x14ac:dyDescent="0.25">
      <c r="A24" s="254">
        <f t="shared" si="0"/>
        <v>12</v>
      </c>
      <c r="B24" s="168" t="s">
        <v>160</v>
      </c>
      <c r="C24" s="253">
        <v>5</v>
      </c>
      <c r="D24" s="253"/>
      <c r="E24" s="253"/>
      <c r="F24" s="253"/>
      <c r="G24" s="253"/>
      <c r="H24" s="253"/>
      <c r="I24" s="253">
        <v>14</v>
      </c>
      <c r="J24" s="253"/>
      <c r="K24" s="253">
        <v>20</v>
      </c>
      <c r="L24" s="253"/>
      <c r="M24" s="253">
        <v>31</v>
      </c>
      <c r="N24" s="253"/>
      <c r="O24" s="253">
        <v>47</v>
      </c>
      <c r="P24" s="253">
        <f t="shared" si="1"/>
        <v>59.5</v>
      </c>
      <c r="Q24" s="253">
        <v>72</v>
      </c>
      <c r="R24" s="253">
        <v>90</v>
      </c>
      <c r="S24" s="253">
        <v>100</v>
      </c>
      <c r="T24" s="253">
        <v>100</v>
      </c>
      <c r="U24" s="253">
        <v>100</v>
      </c>
      <c r="V24" s="253">
        <v>100</v>
      </c>
      <c r="AB24" s="180"/>
      <c r="AC24" s="35"/>
      <c r="AD24" s="35"/>
      <c r="AE24" s="35"/>
      <c r="AG24" s="35"/>
      <c r="AH24" s="35"/>
      <c r="AI24" s="35"/>
      <c r="AJ24" s="35"/>
      <c r="AP24" s="257"/>
      <c r="BD24" s="7"/>
      <c r="BE24" s="190"/>
      <c r="BI24" s="180"/>
    </row>
    <row r="25" spans="1:61" ht="13" x14ac:dyDescent="0.25">
      <c r="A25" s="254">
        <f t="shared" si="0"/>
        <v>13</v>
      </c>
      <c r="B25" s="168" t="s">
        <v>161</v>
      </c>
      <c r="C25" s="253">
        <v>5</v>
      </c>
      <c r="D25" s="253"/>
      <c r="E25" s="253"/>
      <c r="F25" s="253"/>
      <c r="G25" s="253"/>
      <c r="H25" s="253"/>
      <c r="I25" s="253">
        <v>14</v>
      </c>
      <c r="J25" s="253"/>
      <c r="K25" s="253">
        <v>20</v>
      </c>
      <c r="L25" s="253"/>
      <c r="M25" s="253">
        <v>31</v>
      </c>
      <c r="N25" s="253"/>
      <c r="O25" s="253">
        <v>47</v>
      </c>
      <c r="P25" s="253">
        <f t="shared" si="1"/>
        <v>59.5</v>
      </c>
      <c r="Q25" s="253">
        <v>72</v>
      </c>
      <c r="R25" s="253">
        <v>90</v>
      </c>
      <c r="S25" s="253">
        <v>100</v>
      </c>
      <c r="T25" s="253">
        <v>100</v>
      </c>
      <c r="U25" s="253">
        <v>100</v>
      </c>
      <c r="V25" s="253">
        <v>100</v>
      </c>
      <c r="AB25" s="180"/>
      <c r="AC25" s="35"/>
      <c r="AD25" s="35"/>
      <c r="AE25" s="35"/>
      <c r="AG25" s="35"/>
      <c r="AH25" s="35"/>
      <c r="AI25" s="35"/>
      <c r="AJ25" s="35"/>
      <c r="BE25" s="190"/>
      <c r="BH25" s="7"/>
    </row>
    <row r="26" spans="1:61" ht="13" x14ac:dyDescent="0.25">
      <c r="A26" s="254">
        <f t="shared" si="0"/>
        <v>14</v>
      </c>
      <c r="B26" s="168" t="s">
        <v>162</v>
      </c>
      <c r="C26" s="253">
        <v>5</v>
      </c>
      <c r="D26" s="253"/>
      <c r="E26" s="253"/>
      <c r="F26" s="253"/>
      <c r="G26" s="253"/>
      <c r="H26" s="253"/>
      <c r="I26" s="253">
        <v>14</v>
      </c>
      <c r="J26" s="253"/>
      <c r="K26" s="253">
        <v>20</v>
      </c>
      <c r="L26" s="253"/>
      <c r="M26" s="253">
        <v>31</v>
      </c>
      <c r="N26" s="253"/>
      <c r="O26" s="253">
        <v>47</v>
      </c>
      <c r="P26" s="253">
        <f t="shared" si="1"/>
        <v>59.5</v>
      </c>
      <c r="Q26" s="253">
        <v>72</v>
      </c>
      <c r="R26" s="253">
        <v>90</v>
      </c>
      <c r="S26" s="253">
        <v>100</v>
      </c>
      <c r="T26" s="253">
        <v>100</v>
      </c>
      <c r="U26" s="253">
        <v>100</v>
      </c>
      <c r="V26" s="253">
        <v>100</v>
      </c>
      <c r="AB26" s="180"/>
      <c r="AC26" s="35"/>
      <c r="AD26" s="35"/>
      <c r="AE26" s="35"/>
      <c r="AG26" s="35"/>
      <c r="AP26" s="257"/>
      <c r="BD26" s="7"/>
      <c r="BE26" s="190"/>
      <c r="BI26" s="180"/>
    </row>
    <row r="27" spans="1:61" x14ac:dyDescent="0.25">
      <c r="A27" s="254">
        <f t="shared" si="0"/>
        <v>15</v>
      </c>
      <c r="B27" s="168" t="s">
        <v>163</v>
      </c>
      <c r="C27" s="253">
        <v>4</v>
      </c>
      <c r="D27" s="253"/>
      <c r="E27" s="253"/>
      <c r="F27" s="253"/>
      <c r="G27" s="253"/>
      <c r="H27" s="253"/>
      <c r="I27" s="253">
        <v>11</v>
      </c>
      <c r="J27" s="253"/>
      <c r="K27" s="253">
        <v>17</v>
      </c>
      <c r="L27" s="253"/>
      <c r="M27" s="253">
        <v>25</v>
      </c>
      <c r="N27" s="253"/>
      <c r="O27" s="253">
        <v>38</v>
      </c>
      <c r="P27" s="253">
        <f t="shared" si="1"/>
        <v>48</v>
      </c>
      <c r="Q27" s="253">
        <v>58</v>
      </c>
      <c r="R27" s="253">
        <f>(Q27+S27)/2</f>
        <v>74</v>
      </c>
      <c r="S27" s="253">
        <v>90</v>
      </c>
      <c r="T27" s="253">
        <v>100</v>
      </c>
      <c r="U27" s="253">
        <v>100</v>
      </c>
      <c r="V27" s="253">
        <v>100</v>
      </c>
      <c r="AB27" s="180"/>
      <c r="AC27" s="35"/>
      <c r="AD27" s="35"/>
      <c r="AE27" s="35"/>
      <c r="AG27" s="35"/>
      <c r="BE27" s="190"/>
      <c r="BI27" s="180"/>
    </row>
    <row r="28" spans="1:61" ht="13" x14ac:dyDescent="0.25">
      <c r="A28" s="254">
        <f t="shared" si="0"/>
        <v>16</v>
      </c>
      <c r="B28" s="168" t="s">
        <v>164</v>
      </c>
      <c r="C28" s="253">
        <v>4</v>
      </c>
      <c r="D28" s="253"/>
      <c r="E28" s="253"/>
      <c r="F28" s="253"/>
      <c r="G28" s="253"/>
      <c r="H28" s="253"/>
      <c r="I28" s="253">
        <v>11</v>
      </c>
      <c r="J28" s="253"/>
      <c r="K28" s="253">
        <v>17</v>
      </c>
      <c r="L28" s="253"/>
      <c r="M28" s="253">
        <v>25</v>
      </c>
      <c r="N28" s="253"/>
      <c r="O28" s="253">
        <v>38</v>
      </c>
      <c r="P28" s="253">
        <f t="shared" si="1"/>
        <v>48</v>
      </c>
      <c r="Q28" s="253">
        <v>58</v>
      </c>
      <c r="R28" s="253">
        <f>(Q28+S28)/2</f>
        <v>74</v>
      </c>
      <c r="S28" s="253">
        <v>90</v>
      </c>
      <c r="T28" s="253">
        <v>100</v>
      </c>
      <c r="U28" s="253">
        <v>100</v>
      </c>
      <c r="V28" s="253">
        <v>100</v>
      </c>
      <c r="AC28" s="35"/>
      <c r="AD28" s="35"/>
      <c r="AE28" s="35"/>
      <c r="AG28" s="35"/>
      <c r="AH28" s="35"/>
      <c r="AI28" s="35"/>
      <c r="AJ28" s="35"/>
      <c r="AP28" s="257"/>
      <c r="BD28" s="7"/>
      <c r="BE28" s="190"/>
      <c r="BH28" s="7"/>
    </row>
    <row r="29" spans="1:61" x14ac:dyDescent="0.25">
      <c r="A29" s="254">
        <f t="shared" si="0"/>
        <v>17</v>
      </c>
      <c r="B29" s="168" t="s">
        <v>165</v>
      </c>
      <c r="C29" s="253">
        <v>4</v>
      </c>
      <c r="D29" s="253"/>
      <c r="E29" s="253"/>
      <c r="F29" s="253"/>
      <c r="G29" s="253"/>
      <c r="H29" s="253"/>
      <c r="I29" s="253">
        <v>9</v>
      </c>
      <c r="J29" s="253"/>
      <c r="K29" s="253">
        <v>14</v>
      </c>
      <c r="L29" s="253"/>
      <c r="M29" s="253">
        <v>20</v>
      </c>
      <c r="N29" s="253"/>
      <c r="O29" s="253">
        <v>31</v>
      </c>
      <c r="P29" s="253">
        <f>((R29-O29)/3)+O29</f>
        <v>40</v>
      </c>
      <c r="Q29" s="253">
        <f>((R29-O29)/3*2)+O29</f>
        <v>49</v>
      </c>
      <c r="R29" s="253">
        <v>58</v>
      </c>
      <c r="S29" s="253">
        <f>(R29+T29)/2</f>
        <v>74</v>
      </c>
      <c r="T29" s="253">
        <v>90</v>
      </c>
      <c r="U29" s="253">
        <v>100</v>
      </c>
      <c r="V29" s="253">
        <v>100</v>
      </c>
      <c r="AC29" s="35"/>
      <c r="AD29" s="35"/>
      <c r="AE29" s="35"/>
      <c r="AG29" s="35"/>
      <c r="AH29" s="35"/>
      <c r="AI29" s="35"/>
      <c r="AJ29" s="35"/>
      <c r="AL29" s="481"/>
      <c r="AM29" s="481"/>
      <c r="AN29" s="481"/>
      <c r="AO29" s="481"/>
      <c r="AP29" s="481"/>
      <c r="AQ29" s="481"/>
      <c r="AR29" s="481"/>
      <c r="AS29" s="481"/>
      <c r="AT29" s="481"/>
      <c r="BE29" s="190"/>
      <c r="BI29" s="180"/>
    </row>
    <row r="30" spans="1:61" ht="13" x14ac:dyDescent="0.25">
      <c r="A30" s="254">
        <f t="shared" si="0"/>
        <v>18</v>
      </c>
      <c r="B30" s="168" t="s">
        <v>166</v>
      </c>
      <c r="C30" s="253">
        <v>4</v>
      </c>
      <c r="D30" s="253"/>
      <c r="E30" s="253"/>
      <c r="F30" s="253"/>
      <c r="G30" s="253"/>
      <c r="H30" s="253"/>
      <c r="I30" s="253">
        <v>9</v>
      </c>
      <c r="J30" s="253"/>
      <c r="K30" s="253">
        <v>14</v>
      </c>
      <c r="L30" s="253"/>
      <c r="M30" s="253">
        <v>20</v>
      </c>
      <c r="N30" s="253"/>
      <c r="O30" s="253">
        <v>31</v>
      </c>
      <c r="P30" s="253">
        <f>((R30-O30)/3)+O30</f>
        <v>40</v>
      </c>
      <c r="Q30" s="253">
        <f>((R30-O30)/3*2)+O30</f>
        <v>49</v>
      </c>
      <c r="R30" s="253">
        <v>58</v>
      </c>
      <c r="S30" s="253">
        <f>(R30+T30)/2</f>
        <v>74</v>
      </c>
      <c r="T30" s="253">
        <v>90</v>
      </c>
      <c r="U30" s="253">
        <v>100</v>
      </c>
      <c r="V30" s="253">
        <v>100</v>
      </c>
      <c r="AC30" s="35"/>
      <c r="AD30" s="35"/>
      <c r="AE30" s="35"/>
      <c r="AG30" s="35"/>
      <c r="AL30" s="359"/>
      <c r="AM30" s="359"/>
      <c r="AN30" s="359"/>
      <c r="AO30" s="359"/>
      <c r="AP30" s="359"/>
      <c r="AQ30" s="359"/>
      <c r="AR30" s="359"/>
      <c r="AS30" s="359"/>
      <c r="AT30" s="359"/>
      <c r="BD30" s="7"/>
      <c r="BE30" s="190"/>
      <c r="BI30" s="180"/>
    </row>
    <row r="31" spans="1:61" ht="13" x14ac:dyDescent="0.25">
      <c r="A31" s="254">
        <f t="shared" si="0"/>
        <v>19</v>
      </c>
      <c r="B31" s="168" t="s">
        <v>167</v>
      </c>
      <c r="C31" s="253">
        <v>5</v>
      </c>
      <c r="D31" s="253"/>
      <c r="E31" s="253"/>
      <c r="F31" s="253"/>
      <c r="G31" s="253"/>
      <c r="H31" s="253"/>
      <c r="I31" s="253">
        <v>14</v>
      </c>
      <c r="J31" s="253"/>
      <c r="K31" s="253">
        <v>20</v>
      </c>
      <c r="L31" s="253"/>
      <c r="M31" s="253">
        <v>31</v>
      </c>
      <c r="N31" s="253"/>
      <c r="O31" s="253">
        <v>47</v>
      </c>
      <c r="P31" s="253">
        <f>(O31+Q31)/2</f>
        <v>59.5</v>
      </c>
      <c r="Q31" s="253">
        <v>72</v>
      </c>
      <c r="R31" s="253">
        <v>90</v>
      </c>
      <c r="S31" s="253">
        <v>100</v>
      </c>
      <c r="T31" s="253">
        <v>100</v>
      </c>
      <c r="U31" s="253">
        <v>100</v>
      </c>
      <c r="V31" s="253">
        <v>100</v>
      </c>
      <c r="AC31" s="484"/>
      <c r="AD31" s="484"/>
      <c r="AE31" s="484"/>
      <c r="AF31" s="377"/>
      <c r="AG31" s="254"/>
      <c r="AI31" s="484"/>
      <c r="AJ31" s="377"/>
      <c r="AK31" s="377"/>
      <c r="AL31" s="483"/>
      <c r="AM31" s="483"/>
      <c r="AN31" s="483"/>
      <c r="AO31" s="483"/>
      <c r="AP31" s="258"/>
      <c r="AQ31" s="258"/>
      <c r="AR31" s="483"/>
      <c r="AS31" s="483"/>
      <c r="AT31" s="483"/>
      <c r="BE31" s="190"/>
      <c r="BH31" s="7"/>
    </row>
    <row r="32" spans="1:61" ht="13" x14ac:dyDescent="0.25">
      <c r="A32" s="254">
        <f t="shared" si="0"/>
        <v>20</v>
      </c>
      <c r="B32" s="168" t="s">
        <v>168</v>
      </c>
      <c r="C32" s="253">
        <v>5</v>
      </c>
      <c r="D32" s="253"/>
      <c r="E32" s="253"/>
      <c r="F32" s="253"/>
      <c r="G32" s="253"/>
      <c r="H32" s="253"/>
      <c r="I32" s="253">
        <v>14</v>
      </c>
      <c r="J32" s="253"/>
      <c r="K32" s="253">
        <v>20</v>
      </c>
      <c r="L32" s="253"/>
      <c r="M32" s="253">
        <v>31</v>
      </c>
      <c r="N32" s="253"/>
      <c r="O32" s="253">
        <v>47</v>
      </c>
      <c r="P32" s="253">
        <f>(O32+Q32)/2</f>
        <v>59.5</v>
      </c>
      <c r="Q32" s="253">
        <v>72</v>
      </c>
      <c r="R32" s="253">
        <v>90</v>
      </c>
      <c r="S32" s="253">
        <v>100</v>
      </c>
      <c r="T32" s="253">
        <v>100</v>
      </c>
      <c r="U32" s="253">
        <v>100</v>
      </c>
      <c r="V32" s="253">
        <v>100</v>
      </c>
      <c r="AC32" s="484"/>
      <c r="AD32" s="377"/>
      <c r="AE32" s="484"/>
      <c r="AF32" s="377"/>
      <c r="AG32" s="254"/>
      <c r="AI32" s="484"/>
      <c r="AJ32" s="377"/>
      <c r="AK32" s="377"/>
      <c r="AL32" s="483"/>
      <c r="AM32" s="483"/>
      <c r="AN32" s="483"/>
      <c r="AO32" s="483"/>
      <c r="AP32" s="258"/>
      <c r="AQ32" s="258"/>
      <c r="AR32" s="483"/>
      <c r="AS32" s="483"/>
      <c r="AT32" s="483"/>
      <c r="BD32" s="7"/>
      <c r="BE32" s="190"/>
      <c r="BI32" s="180"/>
    </row>
    <row r="33" spans="1:61" x14ac:dyDescent="0.25">
      <c r="A33" s="254">
        <f t="shared" si="0"/>
        <v>21</v>
      </c>
      <c r="B33" s="168" t="s">
        <v>169</v>
      </c>
      <c r="C33" s="253">
        <v>4</v>
      </c>
      <c r="D33" s="253"/>
      <c r="E33" s="253"/>
      <c r="F33" s="253"/>
      <c r="G33" s="253"/>
      <c r="H33" s="253"/>
      <c r="I33" s="253">
        <v>11</v>
      </c>
      <c r="J33" s="253"/>
      <c r="K33" s="253">
        <v>17</v>
      </c>
      <c r="L33" s="253"/>
      <c r="M33" s="253">
        <v>25</v>
      </c>
      <c r="N33" s="253"/>
      <c r="O33" s="253">
        <v>38</v>
      </c>
      <c r="P33" s="253">
        <f>(O33+Q33)/2</f>
        <v>48</v>
      </c>
      <c r="Q33" s="253">
        <v>58</v>
      </c>
      <c r="R33" s="253">
        <f>(Q33+S33)/2</f>
        <v>74</v>
      </c>
      <c r="S33" s="253">
        <v>90</v>
      </c>
      <c r="T33" s="253">
        <v>100</v>
      </c>
      <c r="U33" s="253">
        <v>100</v>
      </c>
      <c r="V33" s="253">
        <v>100</v>
      </c>
      <c r="AC33" s="484"/>
      <c r="AD33" s="484"/>
      <c r="AE33" s="198"/>
      <c r="AF33" s="35"/>
      <c r="AG33" s="198"/>
      <c r="AH33" s="35"/>
      <c r="AI33" s="484"/>
      <c r="AJ33" s="377"/>
      <c r="AK33" s="377"/>
      <c r="AL33" s="483"/>
      <c r="AM33" s="483"/>
      <c r="AN33" s="259"/>
      <c r="AO33" s="260"/>
      <c r="AP33" s="259"/>
      <c r="AQ33" s="260"/>
      <c r="AR33" s="483"/>
      <c r="AS33" s="483"/>
      <c r="AT33" s="483"/>
      <c r="BE33" s="190"/>
      <c r="BI33" s="180"/>
    </row>
    <row r="34" spans="1:61" ht="13" x14ac:dyDescent="0.25">
      <c r="A34" s="254">
        <f t="shared" si="0"/>
        <v>22</v>
      </c>
      <c r="B34" s="168" t="s">
        <v>170</v>
      </c>
      <c r="C34" s="253">
        <v>4</v>
      </c>
      <c r="D34" s="253"/>
      <c r="E34" s="253"/>
      <c r="F34" s="253"/>
      <c r="G34" s="253"/>
      <c r="H34" s="253"/>
      <c r="I34" s="253">
        <v>11</v>
      </c>
      <c r="J34" s="253"/>
      <c r="K34" s="253">
        <v>17</v>
      </c>
      <c r="L34" s="253"/>
      <c r="M34" s="253">
        <v>25</v>
      </c>
      <c r="N34" s="253"/>
      <c r="O34" s="253">
        <v>38</v>
      </c>
      <c r="P34" s="253">
        <f>(O34+Q34)/2</f>
        <v>48</v>
      </c>
      <c r="Q34" s="253">
        <v>58</v>
      </c>
      <c r="R34" s="253">
        <f>(Q34+S34)/2</f>
        <v>74</v>
      </c>
      <c r="S34" s="253">
        <v>90</v>
      </c>
      <c r="T34" s="253">
        <v>100</v>
      </c>
      <c r="U34" s="253">
        <v>100</v>
      </c>
      <c r="V34" s="253">
        <v>100</v>
      </c>
      <c r="AC34" s="35"/>
      <c r="AD34" s="35"/>
      <c r="AE34" s="35"/>
      <c r="AG34" s="35"/>
      <c r="AP34" s="257"/>
      <c r="BD34" s="7"/>
      <c r="BE34" s="190"/>
      <c r="BH34" s="7"/>
    </row>
    <row r="35" spans="1:61" x14ac:dyDescent="0.25">
      <c r="A35" s="254">
        <f t="shared" si="0"/>
        <v>23</v>
      </c>
      <c r="B35" s="168" t="s">
        <v>171</v>
      </c>
      <c r="C35" s="253">
        <v>4</v>
      </c>
      <c r="D35" s="253"/>
      <c r="E35" s="253"/>
      <c r="F35" s="253"/>
      <c r="G35" s="253"/>
      <c r="H35" s="253"/>
      <c r="I35" s="253">
        <v>11</v>
      </c>
      <c r="J35" s="253"/>
      <c r="K35" s="253">
        <v>17</v>
      </c>
      <c r="L35" s="253"/>
      <c r="M35" s="253">
        <v>25</v>
      </c>
      <c r="N35" s="253"/>
      <c r="O35" s="253">
        <v>38</v>
      </c>
      <c r="P35" s="253">
        <f>(O35+Q35)/2</f>
        <v>48</v>
      </c>
      <c r="Q35" s="253">
        <v>58</v>
      </c>
      <c r="R35" s="253">
        <f>(Q35+S35)/2</f>
        <v>74</v>
      </c>
      <c r="S35" s="253">
        <v>90</v>
      </c>
      <c r="T35" s="253">
        <v>100</v>
      </c>
      <c r="U35" s="253">
        <v>100</v>
      </c>
      <c r="V35" s="253">
        <v>100</v>
      </c>
      <c r="AC35" s="180"/>
      <c r="AD35" s="180"/>
      <c r="AE35" s="180"/>
      <c r="AF35" s="180"/>
      <c r="AG35" s="35"/>
      <c r="AI35" s="261"/>
      <c r="AJ35" s="261"/>
      <c r="AK35" s="261"/>
      <c r="AL35" s="260"/>
      <c r="AM35" s="260"/>
      <c r="AN35" s="260"/>
      <c r="AO35" s="260"/>
      <c r="BE35" s="190"/>
      <c r="BI35" s="180"/>
    </row>
    <row r="36" spans="1:61" ht="13" x14ac:dyDescent="0.25">
      <c r="A36" s="254">
        <f t="shared" si="0"/>
        <v>24</v>
      </c>
      <c r="B36" s="168" t="s">
        <v>172</v>
      </c>
      <c r="C36" s="253">
        <v>4</v>
      </c>
      <c r="D36" s="253"/>
      <c r="E36" s="253"/>
      <c r="F36" s="253"/>
      <c r="G36" s="253"/>
      <c r="H36" s="253"/>
      <c r="I36" s="253">
        <v>9</v>
      </c>
      <c r="J36" s="253"/>
      <c r="K36" s="253">
        <v>14</v>
      </c>
      <c r="L36" s="253"/>
      <c r="M36" s="253">
        <v>20</v>
      </c>
      <c r="N36" s="253"/>
      <c r="O36" s="253">
        <v>31</v>
      </c>
      <c r="P36" s="253">
        <f>((R36-O36)/3)+O36</f>
        <v>40</v>
      </c>
      <c r="Q36" s="253">
        <f>((R36-O36)/3*2)+O36</f>
        <v>49</v>
      </c>
      <c r="R36" s="253">
        <v>58</v>
      </c>
      <c r="S36" s="253">
        <f>(R36+T36)/2</f>
        <v>74</v>
      </c>
      <c r="T36" s="253">
        <v>90</v>
      </c>
      <c r="U36" s="253">
        <v>100</v>
      </c>
      <c r="V36" s="253">
        <v>100</v>
      </c>
      <c r="AI36" s="261"/>
      <c r="AJ36" s="261"/>
      <c r="AK36" s="261"/>
      <c r="AL36" s="258"/>
      <c r="AM36" s="258"/>
      <c r="AN36" s="258"/>
      <c r="AO36" s="258"/>
      <c r="AP36" s="262"/>
      <c r="AQ36" s="258"/>
      <c r="AR36" s="258"/>
      <c r="AS36" s="258"/>
      <c r="AT36" s="258"/>
      <c r="BI36" s="180"/>
    </row>
    <row r="37" spans="1:61" ht="13" x14ac:dyDescent="0.25">
      <c r="A37" s="254">
        <f t="shared" si="0"/>
        <v>25</v>
      </c>
      <c r="B37" s="168" t="s">
        <v>173</v>
      </c>
      <c r="C37" s="253">
        <v>4</v>
      </c>
      <c r="D37" s="253"/>
      <c r="E37" s="253"/>
      <c r="F37" s="253"/>
      <c r="G37" s="253"/>
      <c r="H37" s="253"/>
      <c r="I37" s="253">
        <v>9</v>
      </c>
      <c r="J37" s="253"/>
      <c r="K37" s="253">
        <v>14</v>
      </c>
      <c r="L37" s="253"/>
      <c r="M37" s="253">
        <v>20</v>
      </c>
      <c r="N37" s="253"/>
      <c r="O37" s="253">
        <v>31</v>
      </c>
      <c r="P37" s="253">
        <f>((R37-O37)/3)+O37</f>
        <v>40</v>
      </c>
      <c r="Q37" s="253">
        <f>((R37-O37)/3*2)+O37</f>
        <v>49</v>
      </c>
      <c r="R37" s="253">
        <v>58</v>
      </c>
      <c r="S37" s="253">
        <f>(R37+T37)/2</f>
        <v>74</v>
      </c>
      <c r="T37" s="253">
        <v>90</v>
      </c>
      <c r="U37" s="253">
        <v>100</v>
      </c>
      <c r="V37" s="253">
        <v>100</v>
      </c>
      <c r="AC37" s="35"/>
      <c r="AD37" s="35"/>
      <c r="AE37" s="35"/>
      <c r="AF37" s="35"/>
      <c r="AG37" s="35"/>
      <c r="AH37" s="35"/>
      <c r="AI37" s="263"/>
      <c r="AJ37" s="263"/>
      <c r="AK37" s="263"/>
      <c r="AL37" s="260"/>
      <c r="AM37" s="260"/>
      <c r="AN37" s="260"/>
      <c r="AO37" s="258"/>
      <c r="AP37" s="258"/>
      <c r="AQ37" s="258"/>
      <c r="AR37" s="258"/>
      <c r="AS37" s="258"/>
      <c r="AT37" s="258"/>
      <c r="BH37" s="7"/>
    </row>
    <row r="38" spans="1:61" ht="13" x14ac:dyDescent="0.25">
      <c r="A38" s="254">
        <f t="shared" si="0"/>
        <v>26</v>
      </c>
      <c r="B38" s="168" t="s">
        <v>174</v>
      </c>
      <c r="C38" s="253">
        <v>4</v>
      </c>
      <c r="D38" s="253"/>
      <c r="E38" s="253"/>
      <c r="F38" s="253"/>
      <c r="G38" s="253"/>
      <c r="H38" s="253"/>
      <c r="I38" s="253">
        <v>9</v>
      </c>
      <c r="J38" s="253"/>
      <c r="K38" s="253">
        <v>14</v>
      </c>
      <c r="L38" s="253"/>
      <c r="M38" s="253">
        <v>20</v>
      </c>
      <c r="N38" s="253"/>
      <c r="O38" s="253">
        <v>31</v>
      </c>
      <c r="P38" s="253">
        <f>((R38-O38)/3)+O38</f>
        <v>40</v>
      </c>
      <c r="Q38" s="253">
        <f>((R38-O38)/3*2)+O38</f>
        <v>49</v>
      </c>
      <c r="R38" s="253">
        <v>58</v>
      </c>
      <c r="S38" s="253">
        <f>(R38+T38)/2</f>
        <v>74</v>
      </c>
      <c r="T38" s="253">
        <v>90</v>
      </c>
      <c r="U38" s="253">
        <v>100</v>
      </c>
      <c r="V38" s="253">
        <v>100</v>
      </c>
      <c r="AB38" s="180"/>
      <c r="AC38" s="35"/>
      <c r="AD38" s="35"/>
      <c r="AE38" s="35"/>
      <c r="AF38" s="35"/>
      <c r="AG38" s="35"/>
      <c r="AH38" s="35"/>
      <c r="AI38" s="263"/>
      <c r="AJ38" s="263"/>
      <c r="AK38" s="263"/>
      <c r="AL38" s="260"/>
      <c r="AM38" s="260"/>
      <c r="AN38" s="260"/>
      <c r="AO38" s="258"/>
      <c r="AP38" s="262"/>
      <c r="AQ38" s="258"/>
      <c r="AR38" s="258"/>
      <c r="AS38" s="258"/>
      <c r="AT38" s="258"/>
      <c r="BI38" s="180"/>
    </row>
    <row r="39" spans="1:61" x14ac:dyDescent="0.25">
      <c r="A39" s="254">
        <f t="shared" si="0"/>
        <v>27</v>
      </c>
      <c r="B39" s="168" t="s">
        <v>175</v>
      </c>
      <c r="C39" s="253">
        <v>4</v>
      </c>
      <c r="D39" s="253"/>
      <c r="E39" s="253"/>
      <c r="F39" s="253"/>
      <c r="G39" s="253"/>
      <c r="H39" s="253"/>
      <c r="I39" s="253">
        <v>9</v>
      </c>
      <c r="J39" s="253"/>
      <c r="K39" s="253">
        <v>14</v>
      </c>
      <c r="L39" s="253"/>
      <c r="M39" s="253">
        <v>20</v>
      </c>
      <c r="N39" s="253"/>
      <c r="O39" s="253">
        <v>31</v>
      </c>
      <c r="P39" s="253">
        <f>((R39-O39)/3)+O39</f>
        <v>40</v>
      </c>
      <c r="Q39" s="253">
        <f>((R39-O39)/3*2)+O39</f>
        <v>49</v>
      </c>
      <c r="R39" s="253">
        <v>58</v>
      </c>
      <c r="S39" s="253">
        <f>(R39+T39)/2</f>
        <v>74</v>
      </c>
      <c r="T39" s="253">
        <v>90</v>
      </c>
      <c r="U39" s="253">
        <v>100</v>
      </c>
      <c r="V39" s="253">
        <v>100</v>
      </c>
      <c r="AB39" s="180"/>
      <c r="AC39" s="35"/>
      <c r="AD39" s="35"/>
      <c r="AE39" s="35"/>
      <c r="AF39" s="35"/>
      <c r="AG39" s="35"/>
      <c r="AH39" s="35"/>
      <c r="AI39" s="263"/>
      <c r="AJ39" s="263"/>
      <c r="AK39" s="263"/>
      <c r="AL39" s="260"/>
      <c r="AM39" s="260"/>
      <c r="AN39" s="260"/>
      <c r="AO39" s="258"/>
      <c r="AP39" s="258"/>
      <c r="AQ39" s="258"/>
      <c r="AR39" s="258"/>
      <c r="AS39" s="258"/>
      <c r="AT39" s="258"/>
      <c r="BI39" s="180"/>
    </row>
    <row r="40" spans="1:61" ht="13" x14ac:dyDescent="0.25">
      <c r="A40" s="254">
        <f t="shared" si="0"/>
        <v>28</v>
      </c>
      <c r="B40" s="168" t="s">
        <v>176</v>
      </c>
      <c r="C40" s="253">
        <v>4</v>
      </c>
      <c r="D40" s="253"/>
      <c r="E40" s="253"/>
      <c r="F40" s="253"/>
      <c r="G40" s="253"/>
      <c r="H40" s="253"/>
      <c r="I40" s="253">
        <v>8</v>
      </c>
      <c r="J40" s="253"/>
      <c r="K40" s="253">
        <v>11</v>
      </c>
      <c r="L40" s="253"/>
      <c r="M40" s="253">
        <v>17</v>
      </c>
      <c r="N40" s="253"/>
      <c r="O40" s="253">
        <v>25</v>
      </c>
      <c r="P40" s="253">
        <f>((S40-O40)/4)+O40</f>
        <v>33.25</v>
      </c>
      <c r="Q40" s="253">
        <f>((S40-O40)/4*2)+O40</f>
        <v>41.5</v>
      </c>
      <c r="R40" s="253">
        <f>((S40-O40)/4*3)+O40</f>
        <v>49.75</v>
      </c>
      <c r="S40" s="253">
        <v>58</v>
      </c>
      <c r="T40" s="253">
        <f>(S40+U40)/2</f>
        <v>74</v>
      </c>
      <c r="U40" s="253">
        <v>90</v>
      </c>
      <c r="V40" s="253">
        <v>100</v>
      </c>
      <c r="AB40" s="180"/>
      <c r="AC40" s="35"/>
      <c r="AD40" s="35"/>
      <c r="AE40" s="35"/>
      <c r="AF40" s="35"/>
      <c r="AG40" s="35"/>
      <c r="AH40" s="35"/>
      <c r="AI40" s="263"/>
      <c r="AJ40" s="263"/>
      <c r="AK40" s="263"/>
      <c r="AL40" s="260"/>
      <c r="AM40" s="260"/>
      <c r="AN40" s="260"/>
      <c r="AO40" s="258"/>
      <c r="AP40" s="262"/>
      <c r="AQ40" s="258"/>
      <c r="AR40" s="258"/>
      <c r="AS40" s="258"/>
      <c r="AT40" s="258"/>
      <c r="BH40" s="7"/>
    </row>
    <row r="41" spans="1:61" x14ac:dyDescent="0.25">
      <c r="A41" s="254">
        <f t="shared" si="0"/>
        <v>29</v>
      </c>
      <c r="B41" s="168" t="s">
        <v>177</v>
      </c>
      <c r="C41" s="253">
        <v>4</v>
      </c>
      <c r="D41" s="253"/>
      <c r="E41" s="253"/>
      <c r="F41" s="253"/>
      <c r="G41" s="253"/>
      <c r="H41" s="253"/>
      <c r="I41" s="253">
        <v>8</v>
      </c>
      <c r="J41" s="253"/>
      <c r="K41" s="253">
        <v>11</v>
      </c>
      <c r="L41" s="253"/>
      <c r="M41" s="253">
        <v>17</v>
      </c>
      <c r="N41" s="253"/>
      <c r="O41" s="253">
        <v>25</v>
      </c>
      <c r="P41" s="253">
        <f>((S41-O41)/4)+O41</f>
        <v>33.25</v>
      </c>
      <c r="Q41" s="253">
        <f>((S41-O41)/4*2)+O41</f>
        <v>41.5</v>
      </c>
      <c r="R41" s="253">
        <f>((S41-O41)/4*3)+O41</f>
        <v>49.75</v>
      </c>
      <c r="S41" s="253">
        <v>58</v>
      </c>
      <c r="T41" s="253">
        <f>(S41+U41)/2</f>
        <v>74</v>
      </c>
      <c r="U41" s="253">
        <v>90</v>
      </c>
      <c r="V41" s="253">
        <v>100</v>
      </c>
      <c r="AB41" s="180"/>
      <c r="AC41" s="35"/>
      <c r="AD41" s="35"/>
      <c r="AE41" s="35"/>
      <c r="AF41" s="35"/>
      <c r="AG41" s="35"/>
      <c r="AH41" s="35"/>
      <c r="AI41" s="263"/>
      <c r="AJ41" s="263"/>
      <c r="AK41" s="263"/>
      <c r="AL41" s="260"/>
      <c r="AM41" s="260"/>
      <c r="AN41" s="260"/>
      <c r="AO41" s="258"/>
      <c r="AP41" s="258"/>
      <c r="AQ41" s="258"/>
      <c r="AR41" s="258"/>
      <c r="AS41" s="258"/>
      <c r="AT41" s="258"/>
      <c r="BI41" s="180"/>
    </row>
    <row r="42" spans="1:61" ht="13" x14ac:dyDescent="0.25">
      <c r="A42" s="254">
        <f t="shared" si="0"/>
        <v>30</v>
      </c>
      <c r="B42" s="168" t="s">
        <v>116</v>
      </c>
      <c r="C42" s="253">
        <v>4</v>
      </c>
      <c r="D42" s="253"/>
      <c r="E42" s="253"/>
      <c r="F42" s="253"/>
      <c r="G42" s="253"/>
      <c r="H42" s="253"/>
      <c r="I42" s="253">
        <v>9</v>
      </c>
      <c r="J42" s="253"/>
      <c r="K42" s="253">
        <v>14</v>
      </c>
      <c r="L42" s="253"/>
      <c r="M42" s="253">
        <v>20</v>
      </c>
      <c r="N42" s="253"/>
      <c r="O42" s="253">
        <v>31</v>
      </c>
      <c r="P42" s="253">
        <v>40</v>
      </c>
      <c r="Q42" s="253">
        <v>49</v>
      </c>
      <c r="R42" s="253">
        <v>58</v>
      </c>
      <c r="S42" s="253">
        <v>74</v>
      </c>
      <c r="T42" s="253">
        <v>90</v>
      </c>
      <c r="U42" s="253">
        <v>100</v>
      </c>
      <c r="V42" s="253">
        <v>100</v>
      </c>
      <c r="AB42" s="180"/>
      <c r="AC42" s="35"/>
      <c r="AD42" s="35"/>
      <c r="AE42" s="35"/>
      <c r="AF42" s="35"/>
      <c r="AG42" s="35"/>
      <c r="AH42" s="35"/>
      <c r="AI42" s="263"/>
      <c r="AJ42" s="263"/>
      <c r="AK42" s="263"/>
      <c r="AL42" s="260"/>
      <c r="AM42" s="260"/>
      <c r="AN42" s="260"/>
      <c r="AO42" s="260"/>
      <c r="AP42" s="262"/>
      <c r="AQ42" s="258"/>
      <c r="AR42" s="482"/>
      <c r="AS42" s="482"/>
      <c r="AT42" s="482"/>
      <c r="BI42" s="180"/>
    </row>
    <row r="43" spans="1:61" ht="13" x14ac:dyDescent="0.25">
      <c r="A43" s="254">
        <f t="shared" si="0"/>
        <v>31</v>
      </c>
      <c r="B43" s="168" t="s">
        <v>117</v>
      </c>
      <c r="C43" s="253">
        <v>6</v>
      </c>
      <c r="D43" s="253"/>
      <c r="E43" s="253"/>
      <c r="F43" s="253"/>
      <c r="G43" s="253"/>
      <c r="H43" s="253"/>
      <c r="I43" s="253">
        <v>9</v>
      </c>
      <c r="J43" s="253"/>
      <c r="K43" s="253">
        <v>14</v>
      </c>
      <c r="L43" s="253"/>
      <c r="M43" s="253">
        <v>20</v>
      </c>
      <c r="N43" s="253"/>
      <c r="O43" s="253">
        <v>31</v>
      </c>
      <c r="P43" s="253">
        <v>40</v>
      </c>
      <c r="Q43" s="253">
        <v>49</v>
      </c>
      <c r="R43" s="253">
        <v>58</v>
      </c>
      <c r="S43" s="253">
        <v>74</v>
      </c>
      <c r="T43" s="253">
        <v>90</v>
      </c>
      <c r="U43" s="253">
        <v>100</v>
      </c>
      <c r="V43" s="253">
        <v>100</v>
      </c>
      <c r="AB43" s="180"/>
      <c r="AC43" s="35"/>
      <c r="AD43" s="35"/>
      <c r="AE43" s="35"/>
      <c r="AF43" s="35"/>
      <c r="AG43" s="35"/>
      <c r="AH43" s="35"/>
      <c r="AI43" s="485"/>
      <c r="AJ43" s="486"/>
      <c r="AK43" s="486"/>
      <c r="AL43" s="260"/>
      <c r="AM43" s="260"/>
      <c r="AN43" s="260"/>
      <c r="AO43" s="260"/>
      <c r="AP43" s="258"/>
      <c r="AQ43" s="258"/>
      <c r="AR43" s="482"/>
      <c r="AS43" s="482"/>
      <c r="AT43" s="482"/>
      <c r="BH43" s="7"/>
    </row>
    <row r="44" spans="1:61" x14ac:dyDescent="0.25">
      <c r="A44" s="254">
        <f t="shared" si="0"/>
        <v>32</v>
      </c>
      <c r="B44" s="168" t="s">
        <v>91</v>
      </c>
      <c r="C44" s="253">
        <v>3</v>
      </c>
      <c r="D44" s="253"/>
      <c r="E44" s="253"/>
      <c r="F44" s="253"/>
      <c r="G44" s="253"/>
      <c r="H44" s="253"/>
      <c r="I44" s="253">
        <v>8</v>
      </c>
      <c r="J44" s="253"/>
      <c r="K44" s="253">
        <v>12</v>
      </c>
      <c r="L44" s="253"/>
      <c r="M44" s="253">
        <v>19</v>
      </c>
      <c r="N44" s="253"/>
      <c r="O44" s="253">
        <v>28</v>
      </c>
      <c r="P44" s="253">
        <f>((R44-O44)/3)+O44</f>
        <v>37</v>
      </c>
      <c r="Q44" s="253">
        <f>((R44-O44)/3*2)+O44</f>
        <v>46</v>
      </c>
      <c r="R44" s="253">
        <v>55</v>
      </c>
      <c r="S44" s="253">
        <f>(R44+T44)/2</f>
        <v>72.5</v>
      </c>
      <c r="T44" s="253">
        <v>90</v>
      </c>
      <c r="U44" s="253">
        <v>100</v>
      </c>
      <c r="V44" s="253">
        <v>100</v>
      </c>
      <c r="AB44" s="180"/>
      <c r="AC44" s="35"/>
      <c r="AD44" s="35"/>
      <c r="AE44" s="35"/>
      <c r="AF44" s="35"/>
      <c r="AG44" s="35"/>
      <c r="AH44" s="35"/>
      <c r="AI44" s="263"/>
      <c r="AJ44" s="263"/>
      <c r="AK44" s="263"/>
      <c r="AL44" s="260"/>
      <c r="AM44" s="260"/>
      <c r="AN44" s="260"/>
      <c r="AO44" s="260"/>
      <c r="AP44" s="258"/>
      <c r="AQ44" s="258"/>
      <c r="AR44" s="258"/>
      <c r="AS44" s="258"/>
      <c r="AT44" s="258"/>
      <c r="BI44" s="180"/>
    </row>
    <row r="45" spans="1:61" x14ac:dyDescent="0.25">
      <c r="A45" s="254">
        <f t="shared" si="0"/>
        <v>33</v>
      </c>
      <c r="B45" s="168" t="s">
        <v>92</v>
      </c>
      <c r="C45" s="253">
        <v>3</v>
      </c>
      <c r="D45" s="253"/>
      <c r="E45" s="253"/>
      <c r="F45" s="253"/>
      <c r="G45" s="253"/>
      <c r="H45" s="253"/>
      <c r="I45" s="253">
        <v>7</v>
      </c>
      <c r="J45" s="253"/>
      <c r="K45" s="253">
        <v>10</v>
      </c>
      <c r="L45" s="253"/>
      <c r="M45" s="253">
        <v>15</v>
      </c>
      <c r="N45" s="253"/>
      <c r="O45" s="253">
        <v>22</v>
      </c>
      <c r="P45" s="253">
        <f>((S45-O45)/4)+O45</f>
        <v>30.5</v>
      </c>
      <c r="Q45" s="253">
        <v>39</v>
      </c>
      <c r="R45" s="253">
        <v>47.5</v>
      </c>
      <c r="S45" s="253">
        <v>56</v>
      </c>
      <c r="T45" s="253">
        <f>(S45+U45)/2</f>
        <v>73</v>
      </c>
      <c r="U45" s="253">
        <v>90</v>
      </c>
      <c r="V45" s="253">
        <v>100</v>
      </c>
      <c r="AB45" s="180"/>
      <c r="AC45" s="35"/>
      <c r="AD45" s="35"/>
      <c r="AE45" s="35"/>
      <c r="AF45" s="35"/>
      <c r="AG45" s="35"/>
      <c r="AH45" s="35"/>
      <c r="AI45" s="263"/>
      <c r="AJ45" s="263"/>
      <c r="AK45" s="263"/>
      <c r="AL45" s="260"/>
      <c r="AM45" s="260"/>
      <c r="AN45" s="260"/>
      <c r="AO45" s="260"/>
      <c r="AP45" s="258"/>
      <c r="AQ45" s="258"/>
      <c r="AR45" s="258"/>
      <c r="AS45" s="258"/>
      <c r="AT45" s="258"/>
      <c r="BI45" s="180"/>
    </row>
    <row r="46" spans="1:61" ht="13" x14ac:dyDescent="0.25">
      <c r="A46" s="254">
        <f t="shared" si="0"/>
        <v>34</v>
      </c>
      <c r="B46" s="168" t="s">
        <v>129</v>
      </c>
      <c r="C46" s="253">
        <v>4</v>
      </c>
      <c r="D46" s="253"/>
      <c r="E46" s="253"/>
      <c r="F46" s="253"/>
      <c r="G46" s="253"/>
      <c r="H46" s="253"/>
      <c r="I46" s="253">
        <v>11</v>
      </c>
      <c r="J46" s="253"/>
      <c r="K46" s="253">
        <v>17</v>
      </c>
      <c r="L46" s="253"/>
      <c r="M46" s="253">
        <v>25</v>
      </c>
      <c r="N46" s="253"/>
      <c r="O46" s="253">
        <v>38</v>
      </c>
      <c r="P46" s="253">
        <f>(O46+Q46)/2</f>
        <v>48</v>
      </c>
      <c r="Q46" s="253">
        <v>58</v>
      </c>
      <c r="R46" s="253">
        <f>(Q46+S46)/2</f>
        <v>74</v>
      </c>
      <c r="S46" s="253">
        <v>90</v>
      </c>
      <c r="T46" s="253">
        <v>100</v>
      </c>
      <c r="U46" s="253">
        <v>100</v>
      </c>
      <c r="V46" s="253">
        <v>100</v>
      </c>
      <c r="AB46" s="180"/>
      <c r="AC46" s="35"/>
      <c r="AD46" s="35"/>
      <c r="AE46" s="35"/>
      <c r="AF46" s="35"/>
      <c r="AG46" s="35"/>
      <c r="AH46" s="35"/>
      <c r="AI46" s="263"/>
      <c r="AJ46" s="263"/>
      <c r="AK46" s="263"/>
      <c r="AL46" s="260"/>
      <c r="AM46" s="260"/>
      <c r="AN46" s="260"/>
      <c r="AO46" s="260"/>
      <c r="AP46" s="258"/>
      <c r="AQ46" s="258"/>
      <c r="AR46" s="258"/>
      <c r="AS46" s="258"/>
      <c r="AT46" s="258"/>
      <c r="BH46" s="7"/>
    </row>
    <row r="47" spans="1:61" x14ac:dyDescent="0.25">
      <c r="A47" s="254">
        <f t="shared" si="0"/>
        <v>35</v>
      </c>
      <c r="B47" s="168" t="s">
        <v>130</v>
      </c>
      <c r="C47" s="253">
        <v>4</v>
      </c>
      <c r="D47" s="253"/>
      <c r="E47" s="253"/>
      <c r="F47" s="253"/>
      <c r="G47" s="253"/>
      <c r="H47" s="253"/>
      <c r="I47" s="253">
        <v>9</v>
      </c>
      <c r="J47" s="253"/>
      <c r="K47" s="253">
        <v>14</v>
      </c>
      <c r="L47" s="253"/>
      <c r="M47" s="253">
        <v>20</v>
      </c>
      <c r="N47" s="253"/>
      <c r="O47" s="253">
        <v>31</v>
      </c>
      <c r="P47" s="253">
        <f>((R47-O47)/3)+O47</f>
        <v>40</v>
      </c>
      <c r="Q47" s="253">
        <f>((R47-O47)/3*2)+O47</f>
        <v>49</v>
      </c>
      <c r="R47" s="253">
        <v>58</v>
      </c>
      <c r="S47" s="253">
        <f>(R47+T47)/2</f>
        <v>74</v>
      </c>
      <c r="T47" s="253">
        <v>90</v>
      </c>
      <c r="U47" s="253">
        <v>100</v>
      </c>
      <c r="V47" s="253">
        <v>100</v>
      </c>
      <c r="AB47" s="180"/>
      <c r="AC47" s="35"/>
      <c r="AD47" s="35"/>
      <c r="AE47" s="35"/>
      <c r="AF47" s="35"/>
      <c r="AG47" s="35"/>
      <c r="AH47" s="35"/>
      <c r="AI47" s="263"/>
      <c r="AJ47" s="263"/>
      <c r="AK47" s="263"/>
      <c r="AL47" s="260"/>
      <c r="AM47" s="260"/>
      <c r="AN47" s="260"/>
      <c r="AO47" s="260"/>
      <c r="AP47" s="258"/>
      <c r="AQ47" s="258"/>
      <c r="AR47" s="258"/>
      <c r="AS47" s="258"/>
      <c r="AT47" s="258"/>
      <c r="BI47" s="180"/>
    </row>
    <row r="48" spans="1:61" x14ac:dyDescent="0.25">
      <c r="A48" s="254">
        <f t="shared" si="0"/>
        <v>36</v>
      </c>
      <c r="B48" s="168" t="s">
        <v>178</v>
      </c>
      <c r="C48" s="253">
        <v>7</v>
      </c>
      <c r="D48" s="253"/>
      <c r="E48" s="253"/>
      <c r="F48" s="253"/>
      <c r="G48" s="253"/>
      <c r="H48" s="253"/>
      <c r="I48" s="253">
        <v>12</v>
      </c>
      <c r="J48" s="253"/>
      <c r="K48" s="253">
        <v>16</v>
      </c>
      <c r="L48" s="253"/>
      <c r="M48" s="253">
        <v>20</v>
      </c>
      <c r="N48" s="253"/>
      <c r="O48" s="253">
        <v>30</v>
      </c>
      <c r="P48" s="253">
        <f>(O48+Q48)/2</f>
        <v>60</v>
      </c>
      <c r="Q48" s="253">
        <v>90</v>
      </c>
      <c r="R48" s="253">
        <v>100</v>
      </c>
      <c r="S48" s="253">
        <v>100</v>
      </c>
      <c r="T48" s="253">
        <v>100</v>
      </c>
      <c r="U48" s="253">
        <v>100</v>
      </c>
      <c r="V48" s="253">
        <v>100</v>
      </c>
      <c r="AB48" s="180"/>
      <c r="AC48" s="35"/>
      <c r="AD48" s="35"/>
      <c r="AE48" s="35"/>
      <c r="AF48" s="35"/>
      <c r="AG48" s="35"/>
      <c r="AH48" s="35"/>
      <c r="AI48" s="263"/>
      <c r="AJ48" s="263"/>
      <c r="AK48" s="263"/>
      <c r="AL48" s="260"/>
      <c r="AM48" s="260"/>
      <c r="AN48" s="260"/>
      <c r="AO48" s="260"/>
      <c r="AP48" s="258"/>
      <c r="AQ48" s="258"/>
      <c r="AR48" s="258"/>
      <c r="AS48" s="258"/>
      <c r="AT48" s="258"/>
      <c r="BI48" s="180"/>
    </row>
    <row r="49" spans="1:61" ht="13" x14ac:dyDescent="0.25">
      <c r="A49" s="254">
        <f t="shared" si="0"/>
        <v>37</v>
      </c>
      <c r="B49" s="168" t="s">
        <v>179</v>
      </c>
      <c r="C49" s="253">
        <v>7</v>
      </c>
      <c r="D49" s="253"/>
      <c r="E49" s="253"/>
      <c r="F49" s="253"/>
      <c r="G49" s="253"/>
      <c r="H49" s="253"/>
      <c r="I49" s="253">
        <v>12</v>
      </c>
      <c r="J49" s="253"/>
      <c r="K49" s="253">
        <v>16</v>
      </c>
      <c r="L49" s="253"/>
      <c r="M49" s="253">
        <v>20</v>
      </c>
      <c r="N49" s="253"/>
      <c r="O49" s="253">
        <v>25</v>
      </c>
      <c r="P49" s="253">
        <v>35</v>
      </c>
      <c r="Q49" s="253">
        <v>45</v>
      </c>
      <c r="R49" s="253">
        <v>90</v>
      </c>
      <c r="S49" s="253">
        <v>100</v>
      </c>
      <c r="T49" s="253">
        <v>100</v>
      </c>
      <c r="U49" s="253">
        <v>100</v>
      </c>
      <c r="V49" s="253">
        <v>100</v>
      </c>
      <c r="AB49" s="180"/>
      <c r="AC49" s="35"/>
      <c r="AD49" s="35"/>
      <c r="AE49" s="35"/>
      <c r="AF49" s="35"/>
      <c r="AG49" s="35"/>
      <c r="AH49" s="35"/>
      <c r="AI49" s="263"/>
      <c r="AJ49" s="263"/>
      <c r="AK49" s="263"/>
      <c r="AL49" s="260"/>
      <c r="AM49" s="260"/>
      <c r="AN49" s="260"/>
      <c r="AO49" s="260"/>
      <c r="AP49" s="258"/>
      <c r="AQ49" s="258"/>
      <c r="AR49" s="258"/>
      <c r="AS49" s="258"/>
      <c r="AT49" s="258"/>
      <c r="BH49" s="7"/>
    </row>
    <row r="50" spans="1:61" x14ac:dyDescent="0.25">
      <c r="A50" s="254">
        <f t="shared" si="0"/>
        <v>38</v>
      </c>
      <c r="B50" s="272" t="s">
        <v>1</v>
      </c>
      <c r="C50" s="253">
        <v>3</v>
      </c>
      <c r="D50" s="253"/>
      <c r="E50" s="253"/>
      <c r="F50" s="253"/>
      <c r="G50" s="253"/>
      <c r="H50" s="253"/>
      <c r="I50" s="253">
        <v>4</v>
      </c>
      <c r="J50" s="253"/>
      <c r="K50" s="253">
        <v>7</v>
      </c>
      <c r="L50" s="253"/>
      <c r="M50" s="253">
        <v>10</v>
      </c>
      <c r="N50" s="253"/>
      <c r="O50" s="253">
        <v>15</v>
      </c>
      <c r="P50" s="253">
        <v>52.5</v>
      </c>
      <c r="Q50" s="253">
        <v>90</v>
      </c>
      <c r="R50" s="253">
        <v>100</v>
      </c>
      <c r="S50" s="253">
        <v>100</v>
      </c>
      <c r="T50" s="253">
        <v>100</v>
      </c>
      <c r="U50" s="253">
        <v>100</v>
      </c>
      <c r="V50" s="253">
        <v>100</v>
      </c>
      <c r="AB50" s="180"/>
      <c r="AC50" s="35"/>
      <c r="AD50" s="35"/>
      <c r="AE50" s="35"/>
      <c r="AF50" s="35"/>
      <c r="AG50" s="35"/>
      <c r="AH50" s="35"/>
      <c r="AI50" s="263"/>
      <c r="AJ50" s="263"/>
      <c r="AK50" s="263"/>
      <c r="AL50" s="260"/>
      <c r="AM50" s="260"/>
      <c r="AN50" s="260"/>
      <c r="AO50" s="260"/>
      <c r="AP50" s="258"/>
      <c r="AQ50" s="258"/>
      <c r="AR50" s="258"/>
      <c r="AS50" s="258"/>
      <c r="AT50" s="258"/>
      <c r="BI50" s="180"/>
    </row>
    <row r="51" spans="1:61" x14ac:dyDescent="0.25">
      <c r="A51" s="254">
        <f t="shared" si="0"/>
        <v>39</v>
      </c>
      <c r="B51" s="272" t="s">
        <v>0</v>
      </c>
      <c r="C51" s="253">
        <v>3</v>
      </c>
      <c r="D51" s="253"/>
      <c r="E51" s="253"/>
      <c r="F51" s="253"/>
      <c r="G51" s="253"/>
      <c r="H51" s="253"/>
      <c r="I51" s="253">
        <v>4</v>
      </c>
      <c r="J51" s="253"/>
      <c r="K51" s="253">
        <v>6</v>
      </c>
      <c r="L51" s="253"/>
      <c r="M51" s="253">
        <v>8</v>
      </c>
      <c r="N51" s="253"/>
      <c r="O51" s="253">
        <v>12</v>
      </c>
      <c r="P51" s="253">
        <v>16</v>
      </c>
      <c r="Q51" s="253">
        <v>20</v>
      </c>
      <c r="R51" s="253">
        <v>90</v>
      </c>
      <c r="S51" s="253">
        <v>100</v>
      </c>
      <c r="T51" s="253">
        <v>100</v>
      </c>
      <c r="U51" s="253">
        <v>100</v>
      </c>
      <c r="V51" s="253">
        <v>100</v>
      </c>
      <c r="AB51" s="180"/>
      <c r="AC51" s="180"/>
      <c r="AD51" s="180"/>
      <c r="AE51" s="180"/>
      <c r="AF51" s="180"/>
      <c r="AG51" s="35"/>
      <c r="AH51" s="35"/>
      <c r="AI51" s="263"/>
      <c r="AJ51" s="263"/>
      <c r="AK51" s="263"/>
      <c r="AL51" s="260"/>
      <c r="AM51" s="260"/>
      <c r="AN51" s="260"/>
      <c r="AO51" s="260"/>
      <c r="AP51" s="258"/>
      <c r="AQ51" s="258"/>
      <c r="AR51" s="258"/>
      <c r="AS51" s="258"/>
      <c r="AT51" s="258"/>
      <c r="BI51" s="180"/>
    </row>
    <row r="52" spans="1:61" ht="13" x14ac:dyDescent="0.25">
      <c r="A52" s="254">
        <f t="shared" si="0"/>
        <v>40</v>
      </c>
      <c r="B52" s="272" t="s">
        <v>180</v>
      </c>
      <c r="C52" s="253">
        <v>3</v>
      </c>
      <c r="D52" s="253"/>
      <c r="E52" s="253"/>
      <c r="F52" s="253"/>
      <c r="G52" s="253"/>
      <c r="H52" s="253"/>
      <c r="I52" s="253">
        <v>4</v>
      </c>
      <c r="J52" s="253"/>
      <c r="K52" s="253">
        <v>5.5</v>
      </c>
      <c r="L52" s="253"/>
      <c r="M52" s="253">
        <v>7</v>
      </c>
      <c r="N52" s="253"/>
      <c r="O52" s="253">
        <v>9.66</v>
      </c>
      <c r="P52" s="253">
        <v>12.3</v>
      </c>
      <c r="Q52" s="253">
        <v>15</v>
      </c>
      <c r="R52" s="253">
        <v>52.5</v>
      </c>
      <c r="S52" s="253">
        <v>90</v>
      </c>
      <c r="T52" s="253">
        <v>100</v>
      </c>
      <c r="U52" s="253">
        <v>100</v>
      </c>
      <c r="V52" s="253">
        <v>100</v>
      </c>
      <c r="AB52" s="180"/>
      <c r="AC52" s="180"/>
      <c r="AD52" s="180"/>
      <c r="AE52" s="180"/>
      <c r="AF52" s="180"/>
      <c r="AG52" s="480"/>
      <c r="AH52" s="480"/>
      <c r="AI52" s="485"/>
      <c r="AJ52" s="486"/>
      <c r="AK52" s="486"/>
      <c r="AL52" s="260"/>
      <c r="AM52" s="260"/>
      <c r="AN52" s="260"/>
      <c r="AO52" s="260"/>
      <c r="AP52" s="481"/>
      <c r="AQ52" s="481"/>
      <c r="AR52" s="482"/>
      <c r="AS52" s="482"/>
      <c r="AT52" s="482"/>
      <c r="BH52" s="7"/>
    </row>
    <row r="53" spans="1:61" ht="12.75" customHeight="1" x14ac:dyDescent="0.25">
      <c r="A53" s="254">
        <f t="shared" si="0"/>
        <v>41</v>
      </c>
      <c r="B53" s="272" t="s">
        <v>181</v>
      </c>
      <c r="C53" s="253">
        <v>3</v>
      </c>
      <c r="D53" s="253"/>
      <c r="E53" s="253"/>
      <c r="F53" s="253"/>
      <c r="G53" s="253"/>
      <c r="H53" s="253"/>
      <c r="I53" s="253">
        <v>4</v>
      </c>
      <c r="J53" s="253"/>
      <c r="K53" s="253">
        <v>5</v>
      </c>
      <c r="L53" s="253"/>
      <c r="M53" s="253">
        <v>6</v>
      </c>
      <c r="N53" s="253"/>
      <c r="O53" s="253">
        <v>8.25</v>
      </c>
      <c r="P53" s="253">
        <v>10.5</v>
      </c>
      <c r="Q53" s="253">
        <v>12.75</v>
      </c>
      <c r="R53" s="253">
        <v>15</v>
      </c>
      <c r="S53" s="253">
        <v>52.5</v>
      </c>
      <c r="T53" s="253">
        <v>90</v>
      </c>
      <c r="U53" s="253">
        <v>100</v>
      </c>
      <c r="V53" s="253">
        <v>100</v>
      </c>
      <c r="AB53" s="180"/>
      <c r="AC53" s="180"/>
      <c r="AD53" s="180"/>
      <c r="AE53" s="180"/>
      <c r="AF53" s="180"/>
      <c r="AG53" s="480"/>
      <c r="AH53" s="480"/>
      <c r="AI53" s="485"/>
      <c r="AJ53" s="486"/>
      <c r="AK53" s="486"/>
      <c r="AL53" s="260"/>
      <c r="AM53" s="260"/>
      <c r="AN53" s="260"/>
      <c r="AO53" s="260"/>
      <c r="AP53" s="481"/>
      <c r="AQ53" s="481"/>
      <c r="AR53" s="482"/>
      <c r="AS53" s="482"/>
      <c r="AT53" s="482"/>
      <c r="BI53" s="180"/>
    </row>
    <row r="54" spans="1:61" ht="12.75" customHeight="1" x14ac:dyDescent="0.25">
      <c r="A54" s="254">
        <f t="shared" si="0"/>
        <v>42</v>
      </c>
      <c r="B54" s="272" t="s">
        <v>182</v>
      </c>
      <c r="C54" s="180">
        <v>3</v>
      </c>
      <c r="D54" s="180"/>
      <c r="E54" s="180"/>
      <c r="F54" s="180"/>
      <c r="G54" s="180"/>
      <c r="H54" s="180"/>
      <c r="I54" s="180">
        <v>4</v>
      </c>
      <c r="J54" s="180"/>
      <c r="K54" s="180">
        <v>5.5</v>
      </c>
      <c r="L54" s="180"/>
      <c r="M54" s="180">
        <v>7</v>
      </c>
      <c r="N54" s="180"/>
      <c r="O54" s="180">
        <v>9.33</v>
      </c>
      <c r="P54" s="180">
        <v>11.66</v>
      </c>
      <c r="Q54" s="180">
        <v>15</v>
      </c>
      <c r="R54" s="180">
        <v>52.5</v>
      </c>
      <c r="S54" s="180">
        <v>90</v>
      </c>
      <c r="T54" s="180">
        <v>100</v>
      </c>
      <c r="U54" s="180">
        <v>100</v>
      </c>
      <c r="V54" s="180">
        <v>100</v>
      </c>
      <c r="AB54" s="180"/>
      <c r="AC54" s="180"/>
      <c r="AD54" s="180"/>
      <c r="AE54" s="180"/>
      <c r="AF54" s="180"/>
      <c r="AG54" s="480"/>
      <c r="AH54" s="480"/>
      <c r="AI54" s="485"/>
      <c r="AJ54" s="486"/>
      <c r="AK54" s="486"/>
      <c r="AL54" s="260"/>
      <c r="AM54" s="260"/>
      <c r="AN54" s="260"/>
      <c r="AO54" s="260"/>
      <c r="AP54" s="481"/>
      <c r="AQ54" s="481"/>
      <c r="AR54" s="482"/>
      <c r="AS54" s="482"/>
      <c r="AT54" s="482"/>
    </row>
    <row r="55" spans="1:61" x14ac:dyDescent="0.25">
      <c r="A55" s="254">
        <f t="shared" si="0"/>
        <v>43</v>
      </c>
      <c r="B55" s="272" t="s">
        <v>183</v>
      </c>
      <c r="C55" s="180">
        <v>3</v>
      </c>
      <c r="D55" s="180"/>
      <c r="E55" s="180"/>
      <c r="F55" s="180"/>
      <c r="G55" s="180"/>
      <c r="H55" s="180"/>
      <c r="I55" s="180">
        <v>4</v>
      </c>
      <c r="J55" s="180"/>
      <c r="K55" s="180">
        <v>5</v>
      </c>
      <c r="L55" s="180"/>
      <c r="M55" s="180">
        <v>6</v>
      </c>
      <c r="N55" s="180"/>
      <c r="O55" s="180">
        <v>8.25</v>
      </c>
      <c r="P55" s="180">
        <v>10.5</v>
      </c>
      <c r="Q55" s="180">
        <v>12.75</v>
      </c>
      <c r="R55" s="180">
        <v>15</v>
      </c>
      <c r="S55" s="180">
        <v>52.5</v>
      </c>
      <c r="T55" s="180">
        <v>90</v>
      </c>
      <c r="U55" s="180">
        <v>100</v>
      </c>
      <c r="V55" s="180">
        <v>100</v>
      </c>
      <c r="AB55" s="180"/>
      <c r="AC55" s="180"/>
      <c r="AD55" s="180"/>
      <c r="AE55" s="180"/>
      <c r="AF55" s="180"/>
      <c r="AG55" s="480"/>
      <c r="AH55" s="480"/>
      <c r="AI55" s="485"/>
      <c r="AJ55" s="486"/>
      <c r="AK55" s="486"/>
      <c r="AL55" s="260"/>
      <c r="AM55" s="260"/>
      <c r="AN55" s="260"/>
      <c r="AO55" s="260"/>
      <c r="AP55" s="258"/>
      <c r="AQ55" s="258"/>
      <c r="AR55" s="258"/>
      <c r="AS55" s="258"/>
      <c r="AT55" s="258"/>
    </row>
    <row r="56" spans="1:61" x14ac:dyDescent="0.25">
      <c r="A56" s="254">
        <f t="shared" si="0"/>
        <v>44</v>
      </c>
      <c r="B56" s="272" t="s">
        <v>184</v>
      </c>
      <c r="C56" s="180">
        <v>3</v>
      </c>
      <c r="D56" s="180"/>
      <c r="E56" s="180"/>
      <c r="F56" s="180"/>
      <c r="G56" s="180"/>
      <c r="H56" s="180"/>
      <c r="I56" s="180">
        <v>4</v>
      </c>
      <c r="J56" s="180"/>
      <c r="K56" s="180">
        <v>4.5</v>
      </c>
      <c r="L56" s="180"/>
      <c r="M56" s="180">
        <v>5</v>
      </c>
      <c r="N56" s="180"/>
      <c r="O56" s="180">
        <v>7.5</v>
      </c>
      <c r="P56" s="180">
        <v>10</v>
      </c>
      <c r="Q56" s="180">
        <v>12.5</v>
      </c>
      <c r="R56" s="180">
        <v>15</v>
      </c>
      <c r="S56" s="180">
        <v>40</v>
      </c>
      <c r="T56" s="180">
        <v>65</v>
      </c>
      <c r="U56" s="180">
        <v>90</v>
      </c>
      <c r="V56" s="180">
        <v>100</v>
      </c>
      <c r="AB56" s="180"/>
      <c r="AC56" s="35"/>
      <c r="AD56" s="35"/>
      <c r="AE56" s="35"/>
      <c r="AF56" s="35"/>
      <c r="AG56" s="35"/>
      <c r="AH56" s="35"/>
      <c r="AI56" s="263"/>
      <c r="AJ56" s="263"/>
      <c r="AK56" s="263"/>
      <c r="AL56" s="260"/>
      <c r="AM56" s="260"/>
      <c r="AN56" s="260"/>
      <c r="AO56" s="260"/>
      <c r="AP56" s="258"/>
      <c r="AQ56" s="258"/>
      <c r="AR56" s="258"/>
      <c r="AS56" s="258"/>
      <c r="AT56" s="258"/>
    </row>
    <row r="57" spans="1:61" x14ac:dyDescent="0.25">
      <c r="A57" s="6">
        <f t="shared" ref="A57:A74" si="2">A56+1</f>
        <v>45</v>
      </c>
      <c r="B57" s="168" t="s">
        <v>214</v>
      </c>
      <c r="C57" s="37">
        <v>3</v>
      </c>
      <c r="D57" s="37"/>
      <c r="E57" s="37"/>
      <c r="F57" s="37"/>
      <c r="G57" s="37"/>
      <c r="H57" s="37"/>
      <c r="I57" s="37">
        <v>4</v>
      </c>
      <c r="J57" s="37"/>
      <c r="K57" s="37">
        <v>7</v>
      </c>
      <c r="L57" s="37"/>
      <c r="M57" s="37">
        <v>12</v>
      </c>
      <c r="N57" s="37"/>
      <c r="O57" s="37">
        <v>90</v>
      </c>
      <c r="P57" s="37">
        <v>100</v>
      </c>
      <c r="Q57" s="37">
        <v>100</v>
      </c>
      <c r="R57" s="37">
        <v>100</v>
      </c>
      <c r="S57" s="37">
        <v>100</v>
      </c>
      <c r="T57" s="37">
        <v>100</v>
      </c>
      <c r="U57" s="37">
        <v>100</v>
      </c>
      <c r="V57" s="37">
        <v>100</v>
      </c>
      <c r="AB57" s="180"/>
      <c r="AC57" s="35"/>
      <c r="AD57" s="35"/>
      <c r="AE57" s="35"/>
      <c r="AF57" s="36"/>
      <c r="AI57" s="485"/>
      <c r="AJ57" s="486"/>
      <c r="AK57" s="486"/>
      <c r="AL57" s="260"/>
      <c r="AM57" s="260"/>
      <c r="AN57" s="260"/>
      <c r="AO57" s="260"/>
      <c r="AP57" s="258"/>
      <c r="AQ57" s="258"/>
      <c r="AR57" s="258"/>
      <c r="AS57" s="258"/>
      <c r="AT57" s="258"/>
    </row>
    <row r="58" spans="1:61" x14ac:dyDescent="0.25">
      <c r="A58" s="6">
        <f t="shared" si="2"/>
        <v>46</v>
      </c>
      <c r="B58" s="168" t="s">
        <v>213</v>
      </c>
      <c r="C58" s="37">
        <v>3</v>
      </c>
      <c r="D58" s="37"/>
      <c r="E58" s="37"/>
      <c r="F58" s="37"/>
      <c r="G58" s="37"/>
      <c r="H58" s="37"/>
      <c r="I58" s="37">
        <v>4</v>
      </c>
      <c r="J58" s="37"/>
      <c r="K58" s="37">
        <v>7</v>
      </c>
      <c r="L58" s="37"/>
      <c r="M58" s="37">
        <v>12</v>
      </c>
      <c r="N58" s="37"/>
      <c r="O58" s="37">
        <v>90</v>
      </c>
      <c r="P58" s="37">
        <v>100</v>
      </c>
      <c r="Q58" s="37">
        <v>100</v>
      </c>
      <c r="R58" s="37">
        <v>100</v>
      </c>
      <c r="S58" s="37">
        <v>100</v>
      </c>
      <c r="T58" s="37">
        <v>100</v>
      </c>
      <c r="U58" s="37">
        <v>100</v>
      </c>
      <c r="V58" s="37">
        <v>100</v>
      </c>
      <c r="AB58" s="180"/>
      <c r="AC58" s="35"/>
      <c r="AD58" s="35"/>
      <c r="AE58" s="35"/>
      <c r="AF58" s="36"/>
      <c r="AI58" s="485"/>
      <c r="AJ58" s="486"/>
      <c r="AK58" s="486"/>
      <c r="AL58" s="260"/>
      <c r="AM58" s="260"/>
      <c r="AN58" s="260"/>
      <c r="AO58" s="260"/>
      <c r="AP58" s="258"/>
      <c r="AQ58" s="258"/>
      <c r="AR58" s="258"/>
      <c r="AS58" s="258"/>
      <c r="AT58" s="258"/>
    </row>
    <row r="59" spans="1:61" x14ac:dyDescent="0.25">
      <c r="A59" s="6">
        <f t="shared" si="2"/>
        <v>47</v>
      </c>
      <c r="B59" s="168" t="s">
        <v>215</v>
      </c>
      <c r="C59" s="37">
        <v>3</v>
      </c>
      <c r="D59" s="37"/>
      <c r="E59" s="37"/>
      <c r="F59" s="37"/>
      <c r="G59" s="37"/>
      <c r="H59" s="37"/>
      <c r="I59" s="37">
        <v>4</v>
      </c>
      <c r="J59" s="37"/>
      <c r="K59" s="37">
        <v>7</v>
      </c>
      <c r="L59" s="37"/>
      <c r="M59" s="37">
        <v>12</v>
      </c>
      <c r="N59" s="37"/>
      <c r="O59" s="37">
        <v>90</v>
      </c>
      <c r="P59" s="37">
        <v>100</v>
      </c>
      <c r="Q59" s="37">
        <v>100</v>
      </c>
      <c r="R59" s="37">
        <v>100</v>
      </c>
      <c r="S59" s="37">
        <v>100</v>
      </c>
      <c r="T59" s="37">
        <v>100</v>
      </c>
      <c r="U59" s="37">
        <v>100</v>
      </c>
      <c r="V59" s="37">
        <v>100</v>
      </c>
    </row>
    <row r="60" spans="1:61" x14ac:dyDescent="0.25">
      <c r="A60" s="6">
        <f t="shared" si="2"/>
        <v>48</v>
      </c>
      <c r="B60" s="168" t="s">
        <v>216</v>
      </c>
      <c r="C60" s="37">
        <v>3</v>
      </c>
      <c r="D60" s="37"/>
      <c r="E60" s="37"/>
      <c r="F60" s="37"/>
      <c r="G60" s="37"/>
      <c r="H60" s="37"/>
      <c r="I60" s="37">
        <v>4</v>
      </c>
      <c r="J60" s="37"/>
      <c r="K60" s="37">
        <v>7</v>
      </c>
      <c r="L60" s="37"/>
      <c r="M60" s="37">
        <v>10</v>
      </c>
      <c r="N60" s="37"/>
      <c r="O60" s="37">
        <v>15</v>
      </c>
      <c r="P60" s="37">
        <v>50</v>
      </c>
      <c r="Q60" s="37">
        <v>90</v>
      </c>
      <c r="R60" s="37">
        <v>100</v>
      </c>
      <c r="S60" s="37">
        <v>100</v>
      </c>
      <c r="T60" s="37">
        <v>100</v>
      </c>
      <c r="U60" s="37">
        <v>100</v>
      </c>
      <c r="V60" s="37">
        <v>100</v>
      </c>
    </row>
    <row r="61" spans="1:61" x14ac:dyDescent="0.25">
      <c r="A61" s="6">
        <f>A60+1</f>
        <v>49</v>
      </c>
      <c r="B61" s="168" t="s">
        <v>217</v>
      </c>
      <c r="C61" s="37">
        <v>3</v>
      </c>
      <c r="D61" s="37"/>
      <c r="E61" s="37"/>
      <c r="F61" s="37"/>
      <c r="G61" s="37"/>
      <c r="H61" s="37"/>
      <c r="I61" s="37">
        <v>4</v>
      </c>
      <c r="J61" s="37"/>
      <c r="K61" s="37">
        <v>7</v>
      </c>
      <c r="L61" s="37"/>
      <c r="M61" s="37">
        <v>10</v>
      </c>
      <c r="N61" s="37"/>
      <c r="O61" s="37">
        <v>15</v>
      </c>
      <c r="P61" s="37">
        <v>50</v>
      </c>
      <c r="Q61" s="37">
        <v>90</v>
      </c>
      <c r="R61" s="37">
        <v>100</v>
      </c>
      <c r="S61" s="37">
        <v>100</v>
      </c>
      <c r="T61" s="37">
        <v>100</v>
      </c>
      <c r="U61" s="37">
        <v>100</v>
      </c>
      <c r="V61" s="37">
        <v>100</v>
      </c>
    </row>
    <row r="62" spans="1:61" x14ac:dyDescent="0.25">
      <c r="A62" s="6">
        <f t="shared" si="2"/>
        <v>50</v>
      </c>
      <c r="B62" s="27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61" x14ac:dyDescent="0.25">
      <c r="A63" s="6">
        <f t="shared" si="2"/>
        <v>51</v>
      </c>
      <c r="B63" s="16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1:61" x14ac:dyDescent="0.25">
      <c r="A64" s="6">
        <f t="shared" si="2"/>
        <v>52</v>
      </c>
      <c r="B64" s="16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39" x14ac:dyDescent="0.25">
      <c r="A65" s="6">
        <f t="shared" si="2"/>
        <v>53</v>
      </c>
      <c r="B65" s="16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AB65" s="235"/>
      <c r="AC65" s="234"/>
      <c r="AD65" s="234"/>
      <c r="AE65" s="234"/>
      <c r="AF65" s="238"/>
      <c r="AG65" s="234"/>
      <c r="AH65" s="234"/>
      <c r="AI65" s="234"/>
      <c r="AJ65" s="234"/>
      <c r="AK65" s="234"/>
      <c r="AL65" s="234"/>
      <c r="AM65" s="234"/>
    </row>
    <row r="66" spans="1:39" x14ac:dyDescent="0.25">
      <c r="A66" s="6">
        <f t="shared" si="2"/>
        <v>54</v>
      </c>
      <c r="B66" s="16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AB66" s="235"/>
      <c r="AC66" s="487"/>
      <c r="AD66" s="487"/>
      <c r="AE66" s="487"/>
      <c r="AF66" s="487"/>
      <c r="AG66" s="487"/>
      <c r="AH66" s="487"/>
      <c r="AI66" s="487"/>
      <c r="AJ66" s="487"/>
      <c r="AK66" s="487"/>
      <c r="AL66" s="234"/>
      <c r="AM66" s="234"/>
    </row>
    <row r="67" spans="1:39" x14ac:dyDescent="0.25">
      <c r="A67" s="6">
        <f t="shared" si="2"/>
        <v>55</v>
      </c>
      <c r="B67" s="16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AB67" s="235"/>
      <c r="AC67" s="490"/>
      <c r="AD67" s="490"/>
      <c r="AE67" s="490"/>
      <c r="AF67" s="490"/>
      <c r="AG67" s="490"/>
      <c r="AH67" s="490"/>
      <c r="AI67" s="490"/>
      <c r="AJ67" s="490"/>
      <c r="AK67" s="490"/>
      <c r="AL67" s="234"/>
      <c r="AM67" s="234"/>
    </row>
    <row r="68" spans="1:39" x14ac:dyDescent="0.25">
      <c r="A68" s="6">
        <f t="shared" si="2"/>
        <v>56</v>
      </c>
      <c r="B68" s="16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B68" s="235"/>
      <c r="AC68" s="488"/>
      <c r="AD68" s="488"/>
      <c r="AE68" s="488"/>
      <c r="AF68" s="488"/>
      <c r="AG68" s="237"/>
      <c r="AH68" s="237"/>
      <c r="AI68" s="488"/>
      <c r="AJ68" s="488"/>
      <c r="AK68" s="488"/>
      <c r="AL68" s="234"/>
      <c r="AM68" s="234"/>
    </row>
    <row r="69" spans="1:39" x14ac:dyDescent="0.25">
      <c r="A69" s="6">
        <f t="shared" si="2"/>
        <v>57</v>
      </c>
      <c r="B69" s="16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B69" s="235"/>
      <c r="AC69" s="488"/>
      <c r="AD69" s="488"/>
      <c r="AE69" s="488"/>
      <c r="AF69" s="488"/>
      <c r="AG69" s="237"/>
      <c r="AH69" s="237"/>
      <c r="AI69" s="488"/>
      <c r="AJ69" s="488"/>
      <c r="AK69" s="488"/>
      <c r="AL69" s="234"/>
      <c r="AM69" s="234"/>
    </row>
    <row r="70" spans="1:39" x14ac:dyDescent="0.25">
      <c r="A70" s="6">
        <f t="shared" si="2"/>
        <v>58</v>
      </c>
      <c r="B70" s="16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B70" s="235"/>
      <c r="AC70" s="488"/>
      <c r="AD70" s="488"/>
      <c r="AE70" s="239"/>
      <c r="AF70" s="240"/>
      <c r="AG70" s="239"/>
      <c r="AH70" s="240"/>
      <c r="AI70" s="488"/>
      <c r="AJ70" s="488"/>
      <c r="AK70" s="488"/>
      <c r="AL70" s="234"/>
      <c r="AM70" s="234"/>
    </row>
    <row r="71" spans="1:39" ht="13" x14ac:dyDescent="0.25">
      <c r="A71" s="6">
        <f t="shared" si="2"/>
        <v>59</v>
      </c>
      <c r="B71" s="16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B71" s="235"/>
      <c r="AC71" s="234"/>
      <c r="AD71" s="234"/>
      <c r="AE71" s="234"/>
      <c r="AF71" s="234"/>
      <c r="AG71" s="236"/>
      <c r="AH71" s="234"/>
      <c r="AI71" s="234"/>
      <c r="AJ71" s="234"/>
      <c r="AK71" s="234"/>
      <c r="AL71" s="234"/>
      <c r="AM71" s="234"/>
    </row>
    <row r="72" spans="1:39" x14ac:dyDescent="0.25">
      <c r="A72" s="6">
        <f t="shared" si="2"/>
        <v>60</v>
      </c>
      <c r="B72" s="16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B72" s="235"/>
      <c r="AC72" s="240"/>
      <c r="AD72" s="240"/>
      <c r="AE72" s="240"/>
      <c r="AF72" s="240"/>
      <c r="AG72" s="234"/>
      <c r="AH72" s="234"/>
      <c r="AI72" s="234"/>
      <c r="AJ72" s="234"/>
      <c r="AK72" s="234"/>
      <c r="AL72" s="234"/>
      <c r="AM72" s="234"/>
    </row>
    <row r="73" spans="1:39" ht="13" x14ac:dyDescent="0.25">
      <c r="A73" s="6">
        <f t="shared" si="2"/>
        <v>61</v>
      </c>
      <c r="B73" s="16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AB73" s="235"/>
      <c r="AC73" s="237"/>
      <c r="AD73" s="237"/>
      <c r="AE73" s="237"/>
      <c r="AF73" s="237"/>
      <c r="AG73" s="242"/>
      <c r="AH73" s="237"/>
      <c r="AI73" s="237"/>
      <c r="AJ73" s="237"/>
      <c r="AK73" s="237"/>
      <c r="AL73" s="234"/>
      <c r="AM73" s="234"/>
    </row>
    <row r="74" spans="1:39" x14ac:dyDescent="0.25">
      <c r="A74" s="6">
        <f t="shared" si="2"/>
        <v>62</v>
      </c>
      <c r="B74" s="16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AB74" s="235"/>
      <c r="AC74" s="240"/>
      <c r="AD74" s="240"/>
      <c r="AE74" s="240"/>
      <c r="AF74" s="237"/>
      <c r="AG74" s="237"/>
      <c r="AH74" s="237"/>
      <c r="AI74" s="237"/>
      <c r="AJ74" s="237"/>
      <c r="AK74" s="237"/>
      <c r="AL74" s="234"/>
      <c r="AM74" s="234"/>
    </row>
    <row r="75" spans="1:39" ht="13" x14ac:dyDescent="0.25">
      <c r="B75" s="40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AB75" s="241"/>
      <c r="AC75" s="240"/>
      <c r="AD75" s="240"/>
      <c r="AE75" s="240"/>
      <c r="AF75" s="237"/>
      <c r="AG75" s="242"/>
      <c r="AH75" s="237"/>
      <c r="AI75" s="237"/>
      <c r="AJ75" s="237"/>
      <c r="AK75" s="237"/>
      <c r="AL75" s="234"/>
      <c r="AM75" s="234"/>
    </row>
    <row r="76" spans="1:39" x14ac:dyDescent="0.25">
      <c r="B76" s="40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AB76" s="241"/>
      <c r="AC76" s="240"/>
      <c r="AD76" s="240"/>
      <c r="AE76" s="240"/>
      <c r="AF76" s="237"/>
      <c r="AG76" s="237"/>
      <c r="AH76" s="237"/>
      <c r="AI76" s="237"/>
      <c r="AJ76" s="237"/>
      <c r="AK76" s="237"/>
      <c r="AL76" s="234"/>
      <c r="AM76" s="234"/>
    </row>
    <row r="77" spans="1:39" ht="13" x14ac:dyDescent="0.25">
      <c r="B77" s="40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AB77" s="241"/>
      <c r="AC77" s="240"/>
      <c r="AD77" s="240"/>
      <c r="AE77" s="240"/>
      <c r="AF77" s="237"/>
      <c r="AG77" s="242"/>
      <c r="AH77" s="237"/>
      <c r="AI77" s="237"/>
      <c r="AJ77" s="237"/>
      <c r="AK77" s="237"/>
      <c r="AL77" s="234"/>
      <c r="AM77" s="234"/>
    </row>
    <row r="78" spans="1:39" x14ac:dyDescent="0.25">
      <c r="B78" s="38" t="s">
        <v>2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AB78" s="241"/>
      <c r="AC78" s="240"/>
      <c r="AD78" s="240"/>
      <c r="AE78" s="240"/>
      <c r="AF78" s="237"/>
      <c r="AG78" s="237"/>
      <c r="AH78" s="237"/>
      <c r="AI78" s="237"/>
      <c r="AJ78" s="237"/>
      <c r="AK78" s="237"/>
      <c r="AL78" s="234"/>
      <c r="AM78" s="234"/>
    </row>
    <row r="79" spans="1:39" ht="13" x14ac:dyDescent="0.25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AB79" s="241"/>
      <c r="AC79" s="240"/>
      <c r="AD79" s="240"/>
      <c r="AE79" s="240"/>
      <c r="AF79" s="240"/>
      <c r="AG79" s="242"/>
      <c r="AH79" s="237"/>
      <c r="AI79" s="489"/>
      <c r="AJ79" s="489"/>
      <c r="AK79" s="489"/>
      <c r="AL79" s="234"/>
      <c r="AM79" s="234"/>
    </row>
    <row r="80" spans="1:39" x14ac:dyDescent="0.25">
      <c r="A80" s="6">
        <v>2</v>
      </c>
      <c r="B80" s="273" t="str">
        <f t="shared" ref="B80:B120" si="3">B14</f>
        <v>AC 4 L</v>
      </c>
      <c r="C80" s="37">
        <v>16</v>
      </c>
      <c r="D80" s="37"/>
      <c r="E80" s="37"/>
      <c r="F80" s="37"/>
      <c r="G80" s="37"/>
      <c r="H80" s="37"/>
      <c r="I80" s="37">
        <v>44</v>
      </c>
      <c r="J80" s="37"/>
      <c r="K80" s="37">
        <v>60</v>
      </c>
      <c r="L80" s="37"/>
      <c r="M80" s="37">
        <v>81</v>
      </c>
      <c r="N80" s="37"/>
      <c r="O80" s="37">
        <v>100</v>
      </c>
      <c r="P80" s="37">
        <v>100</v>
      </c>
      <c r="Q80" s="37">
        <v>100</v>
      </c>
      <c r="R80" s="37">
        <v>100</v>
      </c>
      <c r="S80" s="37">
        <v>100</v>
      </c>
      <c r="T80" s="37">
        <v>100</v>
      </c>
      <c r="U80" s="37">
        <v>100</v>
      </c>
      <c r="V80" s="37">
        <v>100</v>
      </c>
      <c r="AB80" s="241"/>
      <c r="AC80" s="240"/>
      <c r="AD80" s="240"/>
      <c r="AE80" s="240"/>
      <c r="AF80" s="240"/>
      <c r="AG80" s="237"/>
      <c r="AH80" s="237"/>
      <c r="AI80" s="489"/>
      <c r="AJ80" s="489"/>
      <c r="AK80" s="489"/>
      <c r="AL80" s="234"/>
      <c r="AM80" s="234"/>
    </row>
    <row r="81" spans="1:39" x14ac:dyDescent="0.25">
      <c r="A81" s="6">
        <f>A80+1</f>
        <v>3</v>
      </c>
      <c r="B81" s="273" t="str">
        <f t="shared" si="3"/>
        <v>AC 8 L</v>
      </c>
      <c r="C81" s="37">
        <v>12</v>
      </c>
      <c r="D81" s="37"/>
      <c r="E81" s="37"/>
      <c r="F81" s="37"/>
      <c r="G81" s="37"/>
      <c r="H81" s="37"/>
      <c r="I81" s="37">
        <v>33</v>
      </c>
      <c r="J81" s="37"/>
      <c r="K81" s="37">
        <v>45</v>
      </c>
      <c r="L81" s="37"/>
      <c r="M81" s="37">
        <v>61</v>
      </c>
      <c r="N81" s="37"/>
      <c r="O81" s="37">
        <v>81</v>
      </c>
      <c r="P81" s="37">
        <v>93</v>
      </c>
      <c r="Q81" s="37">
        <v>100</v>
      </c>
      <c r="R81" s="37">
        <v>100</v>
      </c>
      <c r="S81" s="37">
        <v>100</v>
      </c>
      <c r="T81" s="37">
        <v>100</v>
      </c>
      <c r="U81" s="37">
        <v>100</v>
      </c>
      <c r="V81" s="37">
        <v>100</v>
      </c>
      <c r="AB81" s="241"/>
      <c r="AC81" s="240"/>
      <c r="AD81" s="240"/>
      <c r="AE81" s="240"/>
      <c r="AF81" s="240"/>
      <c r="AG81" s="237"/>
      <c r="AH81" s="237"/>
      <c r="AI81" s="237"/>
      <c r="AJ81" s="237"/>
      <c r="AK81" s="237"/>
      <c r="AL81" s="234"/>
      <c r="AM81" s="234"/>
    </row>
    <row r="82" spans="1:39" x14ac:dyDescent="0.25">
      <c r="A82" s="6">
        <f t="shared" ref="A82:A140" si="4">A81+1</f>
        <v>4</v>
      </c>
      <c r="B82" s="273" t="str">
        <f t="shared" si="3"/>
        <v>AC 11 L</v>
      </c>
      <c r="C82" s="37">
        <v>12</v>
      </c>
      <c r="D82" s="37"/>
      <c r="E82" s="37"/>
      <c r="F82" s="37"/>
      <c r="G82" s="37"/>
      <c r="H82" s="37"/>
      <c r="I82" s="37">
        <v>29</v>
      </c>
      <c r="J82" s="37"/>
      <c r="K82" s="37">
        <v>39</v>
      </c>
      <c r="L82" s="37"/>
      <c r="M82" s="37">
        <v>53</v>
      </c>
      <c r="N82" s="37"/>
      <c r="O82" s="37">
        <v>70</v>
      </c>
      <c r="P82" s="37">
        <f>(O82+Q82)/2</f>
        <v>81.5</v>
      </c>
      <c r="Q82" s="37">
        <v>93</v>
      </c>
      <c r="R82" s="37">
        <v>100</v>
      </c>
      <c r="S82" s="37">
        <v>100</v>
      </c>
      <c r="T82" s="37">
        <v>100</v>
      </c>
      <c r="U82" s="37">
        <v>100</v>
      </c>
      <c r="V82" s="37">
        <v>100</v>
      </c>
      <c r="AB82" s="241"/>
      <c r="AC82" s="240"/>
      <c r="AD82" s="240"/>
      <c r="AE82" s="240"/>
      <c r="AF82" s="240"/>
      <c r="AG82" s="237"/>
      <c r="AH82" s="237"/>
      <c r="AI82" s="237"/>
      <c r="AJ82" s="237"/>
      <c r="AK82" s="237"/>
      <c r="AL82" s="234"/>
      <c r="AM82" s="234"/>
    </row>
    <row r="83" spans="1:39" x14ac:dyDescent="0.25">
      <c r="A83" s="6">
        <f t="shared" si="4"/>
        <v>5</v>
      </c>
      <c r="B83" s="273" t="str">
        <f t="shared" si="3"/>
        <v>AC 16 L</v>
      </c>
      <c r="C83" s="37">
        <v>10</v>
      </c>
      <c r="D83" s="37"/>
      <c r="E83" s="37"/>
      <c r="F83" s="37"/>
      <c r="G83" s="37"/>
      <c r="H83" s="37"/>
      <c r="I83" s="37">
        <v>25</v>
      </c>
      <c r="J83" s="37"/>
      <c r="K83" s="37">
        <v>34</v>
      </c>
      <c r="L83" s="37"/>
      <c r="M83" s="37">
        <v>46</v>
      </c>
      <c r="N83" s="37"/>
      <c r="O83" s="37">
        <v>61</v>
      </c>
      <c r="P83" s="37">
        <f>(O83+Q83)/2</f>
        <v>71</v>
      </c>
      <c r="Q83" s="37">
        <v>81</v>
      </c>
      <c r="R83" s="37">
        <f>(Q83+S83)/2</f>
        <v>90.5</v>
      </c>
      <c r="S83" s="37">
        <v>100</v>
      </c>
      <c r="T83" s="37">
        <v>100</v>
      </c>
      <c r="U83" s="37">
        <v>100</v>
      </c>
      <c r="V83" s="37">
        <v>100</v>
      </c>
      <c r="AB83" s="241"/>
      <c r="AC83" s="240"/>
      <c r="AD83" s="240"/>
      <c r="AE83" s="240"/>
      <c r="AF83" s="240"/>
      <c r="AG83" s="237"/>
      <c r="AH83" s="237"/>
      <c r="AI83" s="237"/>
      <c r="AJ83" s="237"/>
      <c r="AK83" s="237"/>
      <c r="AL83" s="234"/>
      <c r="AM83" s="234"/>
    </row>
    <row r="84" spans="1:39" x14ac:dyDescent="0.25">
      <c r="A84" s="6">
        <f t="shared" si="4"/>
        <v>6</v>
      </c>
      <c r="B84" s="273" t="str">
        <f t="shared" si="3"/>
        <v xml:space="preserve">AC 8 N </v>
      </c>
      <c r="C84" s="37">
        <v>12</v>
      </c>
      <c r="D84" s="37"/>
      <c r="E84" s="37"/>
      <c r="F84" s="37"/>
      <c r="G84" s="37"/>
      <c r="H84" s="37"/>
      <c r="I84" s="37">
        <v>33</v>
      </c>
      <c r="J84" s="37"/>
      <c r="K84" s="37">
        <v>45</v>
      </c>
      <c r="L84" s="37"/>
      <c r="M84" s="37">
        <v>61</v>
      </c>
      <c r="N84" s="37"/>
      <c r="O84" s="37">
        <v>81</v>
      </c>
      <c r="P84" s="37">
        <v>93</v>
      </c>
      <c r="Q84" s="37">
        <v>100</v>
      </c>
      <c r="R84" s="37">
        <v>100</v>
      </c>
      <c r="S84" s="37">
        <v>100</v>
      </c>
      <c r="T84" s="37">
        <v>100</v>
      </c>
      <c r="U84" s="37">
        <v>100</v>
      </c>
      <c r="V84" s="37">
        <v>100</v>
      </c>
      <c r="AB84" s="241"/>
      <c r="AC84" s="240"/>
      <c r="AD84" s="240"/>
      <c r="AE84" s="240"/>
      <c r="AF84" s="240"/>
      <c r="AG84" s="237"/>
      <c r="AH84" s="237"/>
      <c r="AI84" s="237"/>
      <c r="AJ84" s="237"/>
      <c r="AK84" s="237"/>
      <c r="AL84" s="234"/>
      <c r="AM84" s="234"/>
    </row>
    <row r="85" spans="1:39" x14ac:dyDescent="0.25">
      <c r="A85" s="6">
        <f t="shared" si="4"/>
        <v>7</v>
      </c>
      <c r="B85" s="273" t="str">
        <f t="shared" si="3"/>
        <v xml:space="preserve">AC 8 S </v>
      </c>
      <c r="C85" s="37">
        <v>12</v>
      </c>
      <c r="D85" s="37"/>
      <c r="E85" s="37"/>
      <c r="F85" s="37"/>
      <c r="G85" s="37"/>
      <c r="H85" s="37"/>
      <c r="I85" s="37">
        <v>33</v>
      </c>
      <c r="J85" s="37"/>
      <c r="K85" s="37">
        <v>45</v>
      </c>
      <c r="L85" s="37"/>
      <c r="M85" s="37">
        <v>61</v>
      </c>
      <c r="N85" s="37"/>
      <c r="O85" s="37">
        <v>81</v>
      </c>
      <c r="P85" s="37">
        <v>93</v>
      </c>
      <c r="Q85" s="37">
        <v>100</v>
      </c>
      <c r="R85" s="37">
        <f>(Q85+S85)/2</f>
        <v>100</v>
      </c>
      <c r="S85" s="37">
        <v>100</v>
      </c>
      <c r="T85" s="37">
        <v>100</v>
      </c>
      <c r="U85" s="37">
        <v>100</v>
      </c>
      <c r="V85" s="37">
        <v>100</v>
      </c>
      <c r="AB85" s="241"/>
      <c r="AC85" s="240"/>
      <c r="AD85" s="240"/>
      <c r="AE85" s="240"/>
      <c r="AF85" s="240"/>
      <c r="AG85" s="237"/>
      <c r="AH85" s="237"/>
      <c r="AI85" s="237"/>
      <c r="AJ85" s="237"/>
      <c r="AK85" s="237"/>
      <c r="AL85" s="234"/>
      <c r="AM85" s="234"/>
    </row>
    <row r="86" spans="1:39" x14ac:dyDescent="0.25">
      <c r="A86" s="6">
        <f t="shared" si="4"/>
        <v>8</v>
      </c>
      <c r="B86" s="273" t="str">
        <f t="shared" si="3"/>
        <v xml:space="preserve">AC 8 H </v>
      </c>
      <c r="C86" s="37">
        <v>12</v>
      </c>
      <c r="D86" s="37"/>
      <c r="E86" s="37"/>
      <c r="F86" s="37"/>
      <c r="G86" s="37"/>
      <c r="H86" s="37"/>
      <c r="I86" s="37">
        <v>33</v>
      </c>
      <c r="J86" s="37"/>
      <c r="K86" s="37">
        <v>45</v>
      </c>
      <c r="L86" s="37"/>
      <c r="M86" s="37">
        <v>61</v>
      </c>
      <c r="N86" s="37"/>
      <c r="O86" s="37">
        <v>81</v>
      </c>
      <c r="P86" s="37">
        <v>93</v>
      </c>
      <c r="Q86" s="37">
        <v>100</v>
      </c>
      <c r="R86" s="37">
        <f>(Q86+S86)/2</f>
        <v>100</v>
      </c>
      <c r="S86" s="37">
        <v>100</v>
      </c>
      <c r="T86" s="37">
        <v>100</v>
      </c>
      <c r="U86" s="37">
        <v>100</v>
      </c>
      <c r="V86" s="37">
        <v>100</v>
      </c>
      <c r="AB86" s="241"/>
      <c r="AC86" s="240"/>
      <c r="AD86" s="240"/>
      <c r="AE86" s="240"/>
      <c r="AF86" s="240"/>
      <c r="AG86" s="237"/>
      <c r="AH86" s="237"/>
      <c r="AI86" s="237"/>
      <c r="AJ86" s="237"/>
      <c r="AK86" s="237"/>
      <c r="AL86" s="234"/>
      <c r="AM86" s="234"/>
    </row>
    <row r="87" spans="1:39" x14ac:dyDescent="0.25">
      <c r="A87" s="6">
        <f t="shared" si="4"/>
        <v>9</v>
      </c>
      <c r="B87" s="273" t="str">
        <f t="shared" si="3"/>
        <v xml:space="preserve">AC MR 8 </v>
      </c>
      <c r="C87" s="37">
        <v>11</v>
      </c>
      <c r="D87" s="37"/>
      <c r="E87" s="37"/>
      <c r="F87" s="37"/>
      <c r="G87" s="37"/>
      <c r="H87" s="37"/>
      <c r="I87" s="37">
        <v>21</v>
      </c>
      <c r="J87" s="37"/>
      <c r="K87" s="37">
        <f>(I87+M87)/2</f>
        <v>26</v>
      </c>
      <c r="L87" s="37"/>
      <c r="M87" s="37">
        <v>31</v>
      </c>
      <c r="N87" s="37"/>
      <c r="O87" s="37">
        <v>42</v>
      </c>
      <c r="P87" s="37">
        <f>(O87+Q87)/2</f>
        <v>71</v>
      </c>
      <c r="Q87" s="37">
        <v>100</v>
      </c>
      <c r="R87" s="37">
        <v>100</v>
      </c>
      <c r="S87" s="37">
        <v>100</v>
      </c>
      <c r="T87" s="37">
        <v>100</v>
      </c>
      <c r="U87" s="37">
        <v>100</v>
      </c>
      <c r="V87" s="37">
        <v>100</v>
      </c>
      <c r="AB87" s="241"/>
      <c r="AC87" s="240"/>
      <c r="AD87" s="240"/>
      <c r="AE87" s="240"/>
      <c r="AF87" s="240"/>
      <c r="AG87" s="237"/>
      <c r="AH87" s="237"/>
      <c r="AI87" s="237"/>
      <c r="AJ87" s="237"/>
      <c r="AK87" s="237"/>
      <c r="AL87" s="234"/>
      <c r="AM87" s="234"/>
    </row>
    <row r="88" spans="1:39" x14ac:dyDescent="0.25">
      <c r="A88" s="6">
        <f t="shared" si="4"/>
        <v>10</v>
      </c>
      <c r="B88" s="273" t="str">
        <f t="shared" si="3"/>
        <v xml:space="preserve">AC MR 11 </v>
      </c>
      <c r="C88" s="37">
        <v>9</v>
      </c>
      <c r="D88" s="37"/>
      <c r="E88" s="37"/>
      <c r="F88" s="37"/>
      <c r="G88" s="37"/>
      <c r="H88" s="37"/>
      <c r="I88" s="37">
        <v>17</v>
      </c>
      <c r="J88" s="37"/>
      <c r="K88" s="37">
        <f>(I88+M88)/2</f>
        <v>21.5</v>
      </c>
      <c r="L88" s="37"/>
      <c r="M88" s="37">
        <v>26</v>
      </c>
      <c r="N88" s="37"/>
      <c r="O88" s="37">
        <v>33</v>
      </c>
      <c r="P88" s="37">
        <f>(O88+Q88)/2</f>
        <v>36.5</v>
      </c>
      <c r="Q88" s="37">
        <v>40</v>
      </c>
      <c r="R88" s="37">
        <v>100</v>
      </c>
      <c r="S88" s="37">
        <v>100</v>
      </c>
      <c r="T88" s="37">
        <v>100</v>
      </c>
      <c r="U88" s="37">
        <v>100</v>
      </c>
      <c r="V88" s="37">
        <v>100</v>
      </c>
      <c r="AB88" s="241"/>
      <c r="AC88" s="240"/>
      <c r="AD88" s="240"/>
      <c r="AE88" s="240"/>
      <c r="AF88" s="240"/>
      <c r="AG88" s="237"/>
      <c r="AH88" s="237"/>
      <c r="AI88" s="237"/>
      <c r="AJ88" s="237"/>
      <c r="AK88" s="237"/>
      <c r="AL88" s="234"/>
      <c r="AM88" s="234"/>
    </row>
    <row r="89" spans="1:39" x14ac:dyDescent="0.25">
      <c r="A89" s="6">
        <f t="shared" si="4"/>
        <v>11</v>
      </c>
      <c r="B89" s="273" t="str">
        <f t="shared" si="3"/>
        <v>AC 11 N</v>
      </c>
      <c r="C89" s="37">
        <v>12</v>
      </c>
      <c r="D89" s="37"/>
      <c r="E89" s="37"/>
      <c r="F89" s="37"/>
      <c r="G89" s="37"/>
      <c r="H89" s="37"/>
      <c r="I89" s="37">
        <v>29</v>
      </c>
      <c r="J89" s="37"/>
      <c r="K89" s="37">
        <v>39</v>
      </c>
      <c r="L89" s="37"/>
      <c r="M89" s="37">
        <v>53</v>
      </c>
      <c r="N89" s="37"/>
      <c r="O89" s="37">
        <v>70</v>
      </c>
      <c r="P89" s="37">
        <f t="shared" ref="P89:P94" si="5">(O89+Q89)/2</f>
        <v>81.5</v>
      </c>
      <c r="Q89" s="37">
        <v>93</v>
      </c>
      <c r="R89" s="37">
        <v>100</v>
      </c>
      <c r="S89" s="37">
        <v>100</v>
      </c>
      <c r="T89" s="37">
        <v>100</v>
      </c>
      <c r="U89" s="37">
        <v>100</v>
      </c>
      <c r="V89" s="37">
        <v>100</v>
      </c>
      <c r="AB89" s="241"/>
      <c r="AC89" s="240"/>
      <c r="AD89" s="240"/>
      <c r="AE89" s="240"/>
      <c r="AF89" s="240"/>
      <c r="AG89" s="487"/>
      <c r="AH89" s="487"/>
      <c r="AI89" s="489"/>
      <c r="AJ89" s="489"/>
      <c r="AK89" s="489"/>
      <c r="AL89" s="234"/>
      <c r="AM89" s="234"/>
    </row>
    <row r="90" spans="1:39" x14ac:dyDescent="0.25">
      <c r="A90" s="6">
        <f t="shared" si="4"/>
        <v>12</v>
      </c>
      <c r="B90" s="273" t="str">
        <f t="shared" si="3"/>
        <v>AC 11 S</v>
      </c>
      <c r="C90" s="37">
        <v>12</v>
      </c>
      <c r="D90" s="37"/>
      <c r="E90" s="37"/>
      <c r="F90" s="37"/>
      <c r="G90" s="37"/>
      <c r="H90" s="37"/>
      <c r="I90" s="37">
        <v>29</v>
      </c>
      <c r="J90" s="37"/>
      <c r="K90" s="37">
        <v>39</v>
      </c>
      <c r="L90" s="37"/>
      <c r="M90" s="37">
        <v>53</v>
      </c>
      <c r="N90" s="37"/>
      <c r="O90" s="37">
        <v>70</v>
      </c>
      <c r="P90" s="37">
        <f t="shared" si="5"/>
        <v>81.5</v>
      </c>
      <c r="Q90" s="37">
        <v>93</v>
      </c>
      <c r="R90" s="37">
        <v>100</v>
      </c>
      <c r="S90" s="37">
        <v>100</v>
      </c>
      <c r="T90" s="37">
        <v>100</v>
      </c>
      <c r="U90" s="37">
        <v>100</v>
      </c>
      <c r="V90" s="37">
        <v>100</v>
      </c>
      <c r="AB90" s="241"/>
      <c r="AC90" s="240"/>
      <c r="AD90" s="240"/>
      <c r="AE90" s="240"/>
      <c r="AF90" s="240"/>
      <c r="AG90" s="487"/>
      <c r="AH90" s="487"/>
      <c r="AI90" s="489"/>
      <c r="AJ90" s="489"/>
      <c r="AK90" s="489"/>
      <c r="AL90" s="234"/>
      <c r="AM90" s="234"/>
    </row>
    <row r="91" spans="1:39" x14ac:dyDescent="0.25">
      <c r="A91" s="6">
        <f t="shared" si="4"/>
        <v>13</v>
      </c>
      <c r="B91" s="273" t="str">
        <f t="shared" si="3"/>
        <v xml:space="preserve">AC 11 H </v>
      </c>
      <c r="C91" s="37">
        <v>12</v>
      </c>
      <c r="D91" s="37"/>
      <c r="E91" s="37"/>
      <c r="F91" s="37"/>
      <c r="G91" s="37"/>
      <c r="H91" s="37"/>
      <c r="I91" s="37">
        <v>29</v>
      </c>
      <c r="J91" s="37"/>
      <c r="K91" s="37">
        <v>39</v>
      </c>
      <c r="L91" s="37"/>
      <c r="M91" s="37">
        <v>53</v>
      </c>
      <c r="N91" s="37"/>
      <c r="O91" s="37">
        <v>70</v>
      </c>
      <c r="P91" s="37">
        <f t="shared" si="5"/>
        <v>81.5</v>
      </c>
      <c r="Q91" s="37">
        <v>93</v>
      </c>
      <c r="R91" s="37">
        <v>100</v>
      </c>
      <c r="S91" s="37">
        <v>100</v>
      </c>
      <c r="T91" s="37">
        <v>100</v>
      </c>
      <c r="U91" s="37">
        <v>100</v>
      </c>
      <c r="V91" s="37">
        <v>100</v>
      </c>
      <c r="AB91" s="241"/>
      <c r="AC91" s="240"/>
      <c r="AD91" s="240"/>
      <c r="AE91" s="240"/>
      <c r="AF91" s="240"/>
      <c r="AG91" s="487"/>
      <c r="AH91" s="487"/>
      <c r="AI91" s="489"/>
      <c r="AJ91" s="489"/>
      <c r="AK91" s="489"/>
      <c r="AL91" s="234"/>
      <c r="AM91" s="234"/>
    </row>
    <row r="92" spans="1:39" x14ac:dyDescent="0.25">
      <c r="A92" s="6">
        <f t="shared" si="4"/>
        <v>14</v>
      </c>
      <c r="B92" s="273" t="str">
        <f t="shared" si="3"/>
        <v>AC B 11 S</v>
      </c>
      <c r="C92" s="37">
        <v>12</v>
      </c>
      <c r="D92" s="37"/>
      <c r="E92" s="37"/>
      <c r="F92" s="37"/>
      <c r="G92" s="37"/>
      <c r="H92" s="37"/>
      <c r="I92" s="37">
        <v>29</v>
      </c>
      <c r="J92" s="37"/>
      <c r="K92" s="37">
        <v>39</v>
      </c>
      <c r="L92" s="37"/>
      <c r="M92" s="37">
        <v>53</v>
      </c>
      <c r="N92" s="37"/>
      <c r="O92" s="37">
        <v>70</v>
      </c>
      <c r="P92" s="37">
        <f t="shared" si="5"/>
        <v>81.5</v>
      </c>
      <c r="Q92" s="37">
        <v>93</v>
      </c>
      <c r="R92" s="37">
        <v>100</v>
      </c>
      <c r="S92" s="37">
        <v>100</v>
      </c>
      <c r="T92" s="37">
        <v>100</v>
      </c>
      <c r="U92" s="37">
        <v>100</v>
      </c>
      <c r="V92" s="37">
        <v>100</v>
      </c>
      <c r="AB92" s="241"/>
      <c r="AC92" s="240"/>
      <c r="AD92" s="240"/>
      <c r="AE92" s="240"/>
      <c r="AF92" s="240"/>
      <c r="AG92" s="237"/>
      <c r="AH92" s="237"/>
      <c r="AI92" s="237"/>
      <c r="AJ92" s="237"/>
      <c r="AK92" s="237"/>
      <c r="AL92" s="234"/>
      <c r="AM92" s="234"/>
    </row>
    <row r="93" spans="1:39" x14ac:dyDescent="0.25">
      <c r="A93" s="6">
        <f t="shared" si="4"/>
        <v>15</v>
      </c>
      <c r="B93" s="273" t="str">
        <f t="shared" si="3"/>
        <v xml:space="preserve">AC B 16 S </v>
      </c>
      <c r="C93" s="37">
        <v>10</v>
      </c>
      <c r="D93" s="37"/>
      <c r="E93" s="37"/>
      <c r="F93" s="37"/>
      <c r="G93" s="37"/>
      <c r="H93" s="37"/>
      <c r="I93" s="37">
        <v>25</v>
      </c>
      <c r="J93" s="37"/>
      <c r="K93" s="37">
        <v>34</v>
      </c>
      <c r="L93" s="37"/>
      <c r="M93" s="37">
        <v>46</v>
      </c>
      <c r="N93" s="37"/>
      <c r="O93" s="37">
        <v>61</v>
      </c>
      <c r="P93" s="37">
        <f t="shared" si="5"/>
        <v>71</v>
      </c>
      <c r="Q93" s="37">
        <v>81</v>
      </c>
      <c r="R93" s="37">
        <f>(Q93+S93)/2</f>
        <v>90.5</v>
      </c>
      <c r="S93" s="37">
        <v>100</v>
      </c>
      <c r="T93" s="37">
        <v>100</v>
      </c>
      <c r="U93" s="37">
        <v>100</v>
      </c>
      <c r="V93" s="37">
        <v>100</v>
      </c>
      <c r="AB93" s="241"/>
      <c r="AC93" s="240"/>
      <c r="AD93" s="240"/>
      <c r="AE93" s="240"/>
      <c r="AF93" s="240"/>
      <c r="AG93" s="237"/>
      <c r="AH93" s="237"/>
      <c r="AI93" s="237"/>
      <c r="AJ93" s="237"/>
      <c r="AK93" s="237"/>
      <c r="AL93" s="234"/>
      <c r="AM93" s="234"/>
    </row>
    <row r="94" spans="1:39" x14ac:dyDescent="0.25">
      <c r="A94" s="6">
        <f t="shared" si="4"/>
        <v>16</v>
      </c>
      <c r="B94" s="273" t="str">
        <f t="shared" si="3"/>
        <v xml:space="preserve">AC B 16 H </v>
      </c>
      <c r="C94" s="37">
        <v>10</v>
      </c>
      <c r="D94" s="37"/>
      <c r="E94" s="37"/>
      <c r="F94" s="37"/>
      <c r="G94" s="37"/>
      <c r="H94" s="37"/>
      <c r="I94" s="37">
        <v>25</v>
      </c>
      <c r="J94" s="37"/>
      <c r="K94" s="37">
        <v>34</v>
      </c>
      <c r="L94" s="37"/>
      <c r="M94" s="37">
        <v>46</v>
      </c>
      <c r="N94" s="37"/>
      <c r="O94" s="37">
        <v>61</v>
      </c>
      <c r="P94" s="37">
        <f t="shared" si="5"/>
        <v>71</v>
      </c>
      <c r="Q94" s="37">
        <v>81</v>
      </c>
      <c r="R94" s="37">
        <f>(Q94+S94)/2</f>
        <v>90.5</v>
      </c>
      <c r="S94" s="37">
        <v>100</v>
      </c>
      <c r="T94" s="37">
        <v>100</v>
      </c>
      <c r="U94" s="37">
        <v>100</v>
      </c>
      <c r="V94" s="37">
        <v>100</v>
      </c>
      <c r="AB94" s="241"/>
      <c r="AC94" s="240"/>
      <c r="AD94" s="240"/>
      <c r="AE94" s="240"/>
      <c r="AF94" s="240"/>
      <c r="AG94" s="237"/>
      <c r="AH94" s="237"/>
      <c r="AI94" s="237"/>
      <c r="AJ94" s="237"/>
      <c r="AK94" s="237"/>
      <c r="AL94" s="234"/>
      <c r="AM94" s="234"/>
    </row>
    <row r="95" spans="1:39" x14ac:dyDescent="0.25">
      <c r="A95" s="6">
        <f t="shared" si="4"/>
        <v>17</v>
      </c>
      <c r="B95" s="273" t="str">
        <f t="shared" si="3"/>
        <v xml:space="preserve">AC B 22 S </v>
      </c>
      <c r="C95" s="37">
        <v>10</v>
      </c>
      <c r="D95" s="37"/>
      <c r="E95" s="37"/>
      <c r="F95" s="37"/>
      <c r="G95" s="37"/>
      <c r="H95" s="37"/>
      <c r="I95" s="37">
        <v>23</v>
      </c>
      <c r="J95" s="37"/>
      <c r="K95" s="37">
        <v>31</v>
      </c>
      <c r="L95" s="37"/>
      <c r="M95" s="37">
        <v>41</v>
      </c>
      <c r="N95" s="37"/>
      <c r="O95" s="37">
        <v>54</v>
      </c>
      <c r="P95" s="37">
        <v>63</v>
      </c>
      <c r="Q95" s="37">
        <v>72</v>
      </c>
      <c r="R95" s="37">
        <v>81</v>
      </c>
      <c r="S95" s="37">
        <f>(R95+T95)/2</f>
        <v>90.5</v>
      </c>
      <c r="T95" s="37">
        <v>100</v>
      </c>
      <c r="U95" s="37">
        <v>100</v>
      </c>
      <c r="V95" s="37">
        <v>100</v>
      </c>
      <c r="AB95" s="241"/>
      <c r="AC95" s="240"/>
      <c r="AD95" s="240"/>
      <c r="AE95" s="240"/>
      <c r="AF95" s="240"/>
      <c r="AG95" s="237"/>
      <c r="AH95" s="237"/>
      <c r="AI95" s="237"/>
      <c r="AJ95" s="237"/>
      <c r="AK95" s="237"/>
      <c r="AL95" s="234"/>
      <c r="AM95" s="234"/>
    </row>
    <row r="96" spans="1:39" x14ac:dyDescent="0.25">
      <c r="A96" s="6">
        <f t="shared" si="4"/>
        <v>18</v>
      </c>
      <c r="B96" s="273" t="str">
        <f t="shared" si="3"/>
        <v xml:space="preserve">AC B 22 H </v>
      </c>
      <c r="C96" s="37">
        <v>10</v>
      </c>
      <c r="D96" s="37"/>
      <c r="E96" s="37"/>
      <c r="F96" s="37"/>
      <c r="G96" s="37"/>
      <c r="H96" s="37"/>
      <c r="I96" s="37">
        <v>23</v>
      </c>
      <c r="J96" s="37"/>
      <c r="K96" s="37">
        <v>31</v>
      </c>
      <c r="L96" s="37"/>
      <c r="M96" s="37">
        <v>41</v>
      </c>
      <c r="N96" s="37"/>
      <c r="O96" s="37">
        <v>54</v>
      </c>
      <c r="P96" s="37">
        <v>63</v>
      </c>
      <c r="Q96" s="37">
        <v>72</v>
      </c>
      <c r="R96" s="37">
        <v>81</v>
      </c>
      <c r="S96" s="37">
        <f>(R96+T96)/2</f>
        <v>90.5</v>
      </c>
      <c r="T96" s="37">
        <v>100</v>
      </c>
      <c r="U96" s="37">
        <v>100</v>
      </c>
      <c r="V96" s="37">
        <v>100</v>
      </c>
      <c r="AB96" s="235"/>
      <c r="AC96" s="234"/>
      <c r="AD96" s="234"/>
      <c r="AE96" s="234"/>
      <c r="AF96" s="238"/>
      <c r="AG96" s="234"/>
      <c r="AH96" s="234"/>
      <c r="AI96" s="234"/>
      <c r="AJ96" s="234"/>
      <c r="AK96" s="234"/>
      <c r="AL96" s="234"/>
      <c r="AM96" s="234"/>
    </row>
    <row r="97" spans="1:39" x14ac:dyDescent="0.25">
      <c r="A97" s="6">
        <f t="shared" si="4"/>
        <v>19</v>
      </c>
      <c r="B97" s="273" t="str">
        <f t="shared" si="3"/>
        <v>AC T 11 L</v>
      </c>
      <c r="C97" s="37">
        <v>12</v>
      </c>
      <c r="D97" s="37"/>
      <c r="E97" s="37"/>
      <c r="F97" s="37"/>
      <c r="G97" s="37"/>
      <c r="H97" s="37"/>
      <c r="I97" s="37">
        <v>29</v>
      </c>
      <c r="J97" s="37"/>
      <c r="K97" s="37">
        <v>39</v>
      </c>
      <c r="L97" s="37"/>
      <c r="M97" s="37">
        <v>53</v>
      </c>
      <c r="N97" s="37"/>
      <c r="O97" s="37">
        <v>70</v>
      </c>
      <c r="P97" s="37">
        <f>(O97+Q97)/2</f>
        <v>81.5</v>
      </c>
      <c r="Q97" s="37">
        <v>93</v>
      </c>
      <c r="R97" s="37">
        <v>100</v>
      </c>
      <c r="S97" s="37">
        <v>100</v>
      </c>
      <c r="T97" s="37">
        <v>100</v>
      </c>
      <c r="U97" s="37">
        <v>100</v>
      </c>
      <c r="V97" s="37">
        <v>100</v>
      </c>
      <c r="AB97" s="235"/>
      <c r="AC97" s="234"/>
      <c r="AD97" s="234"/>
      <c r="AE97" s="234"/>
      <c r="AF97" s="238"/>
      <c r="AG97" s="234"/>
      <c r="AH97" s="234"/>
      <c r="AI97" s="234"/>
      <c r="AJ97" s="234"/>
      <c r="AK97" s="234"/>
      <c r="AL97" s="234"/>
      <c r="AM97" s="234"/>
    </row>
    <row r="98" spans="1:39" x14ac:dyDescent="0.25">
      <c r="A98" s="6">
        <f t="shared" si="4"/>
        <v>20</v>
      </c>
      <c r="B98" s="273" t="str">
        <f t="shared" si="3"/>
        <v>AC T 11 N</v>
      </c>
      <c r="C98" s="37">
        <v>12</v>
      </c>
      <c r="D98" s="37"/>
      <c r="E98" s="37"/>
      <c r="F98" s="37"/>
      <c r="G98" s="37"/>
      <c r="H98" s="37"/>
      <c r="I98" s="37">
        <v>29</v>
      </c>
      <c r="J98" s="37"/>
      <c r="K98" s="37">
        <v>39</v>
      </c>
      <c r="L98" s="37"/>
      <c r="M98" s="37">
        <v>53</v>
      </c>
      <c r="N98" s="37"/>
      <c r="O98" s="37">
        <v>70</v>
      </c>
      <c r="P98" s="37">
        <f>(O98+Q98)/2</f>
        <v>81.5</v>
      </c>
      <c r="Q98" s="37">
        <v>93</v>
      </c>
      <c r="R98" s="37">
        <v>100</v>
      </c>
      <c r="S98" s="37">
        <v>100</v>
      </c>
      <c r="T98" s="37">
        <v>100</v>
      </c>
      <c r="U98" s="37">
        <v>100</v>
      </c>
      <c r="V98" s="37">
        <v>100</v>
      </c>
      <c r="AB98" s="235"/>
      <c r="AC98" s="234"/>
      <c r="AD98" s="234"/>
      <c r="AE98" s="234"/>
      <c r="AF98" s="238"/>
      <c r="AG98" s="234"/>
      <c r="AH98" s="234"/>
      <c r="AI98" s="234"/>
      <c r="AJ98" s="234"/>
      <c r="AK98" s="234"/>
      <c r="AL98" s="234"/>
      <c r="AM98" s="234"/>
    </row>
    <row r="99" spans="1:39" x14ac:dyDescent="0.25">
      <c r="A99" s="6">
        <f t="shared" si="4"/>
        <v>21</v>
      </c>
      <c r="B99" s="273" t="str">
        <f t="shared" si="3"/>
        <v>AC T 16 L</v>
      </c>
      <c r="C99" s="37">
        <v>10</v>
      </c>
      <c r="D99" s="37"/>
      <c r="E99" s="37"/>
      <c r="F99" s="37"/>
      <c r="G99" s="37"/>
      <c r="H99" s="37"/>
      <c r="I99" s="37">
        <v>25</v>
      </c>
      <c r="J99" s="37"/>
      <c r="K99" s="37">
        <v>34</v>
      </c>
      <c r="L99" s="37"/>
      <c r="M99" s="37">
        <v>46</v>
      </c>
      <c r="N99" s="37"/>
      <c r="O99" s="37">
        <v>61</v>
      </c>
      <c r="P99" s="37">
        <f>(O99+Q99)/2</f>
        <v>71</v>
      </c>
      <c r="Q99" s="37">
        <v>81</v>
      </c>
      <c r="R99" s="37">
        <f>(Q99+S99)/2</f>
        <v>90.5</v>
      </c>
      <c r="S99" s="37">
        <v>100</v>
      </c>
      <c r="T99" s="37">
        <v>100</v>
      </c>
      <c r="U99" s="37">
        <v>100</v>
      </c>
      <c r="V99" s="37">
        <v>100</v>
      </c>
      <c r="AB99" s="235"/>
      <c r="AC99" s="234"/>
      <c r="AD99" s="234"/>
      <c r="AE99" s="234"/>
      <c r="AF99" s="238"/>
      <c r="AG99" s="234"/>
      <c r="AH99" s="234"/>
      <c r="AI99" s="234"/>
      <c r="AJ99" s="234"/>
      <c r="AK99" s="234"/>
      <c r="AL99" s="234"/>
      <c r="AM99" s="234"/>
    </row>
    <row r="100" spans="1:39" x14ac:dyDescent="0.25">
      <c r="A100" s="6">
        <f t="shared" si="4"/>
        <v>22</v>
      </c>
      <c r="B100" s="273" t="str">
        <f t="shared" si="3"/>
        <v xml:space="preserve">AC T 16 N </v>
      </c>
      <c r="C100" s="37">
        <v>10</v>
      </c>
      <c r="D100" s="37"/>
      <c r="E100" s="37"/>
      <c r="F100" s="37"/>
      <c r="G100" s="37"/>
      <c r="H100" s="37"/>
      <c r="I100" s="37">
        <v>25</v>
      </c>
      <c r="J100" s="37"/>
      <c r="K100" s="37">
        <v>34</v>
      </c>
      <c r="L100" s="37"/>
      <c r="M100" s="37">
        <v>46</v>
      </c>
      <c r="N100" s="37"/>
      <c r="O100" s="37">
        <v>61</v>
      </c>
      <c r="P100" s="37">
        <f>(O100+Q100)/2</f>
        <v>71</v>
      </c>
      <c r="Q100" s="37">
        <v>81</v>
      </c>
      <c r="R100" s="37">
        <f>(Q100+S100)/2</f>
        <v>90.5</v>
      </c>
      <c r="S100" s="37">
        <v>100</v>
      </c>
      <c r="T100" s="37">
        <v>100</v>
      </c>
      <c r="U100" s="37">
        <v>100</v>
      </c>
      <c r="V100" s="37">
        <v>100</v>
      </c>
    </row>
    <row r="101" spans="1:39" x14ac:dyDescent="0.25">
      <c r="A101" s="6">
        <f t="shared" si="4"/>
        <v>23</v>
      </c>
      <c r="B101" s="273" t="str">
        <f t="shared" si="3"/>
        <v xml:space="preserve">AC T 16 S </v>
      </c>
      <c r="C101" s="37">
        <v>10</v>
      </c>
      <c r="D101" s="37"/>
      <c r="E101" s="37"/>
      <c r="F101" s="37"/>
      <c r="G101" s="37"/>
      <c r="H101" s="37"/>
      <c r="I101" s="37">
        <v>25</v>
      </c>
      <c r="J101" s="37"/>
      <c r="K101" s="37">
        <v>34</v>
      </c>
      <c r="L101" s="37"/>
      <c r="M101" s="37">
        <v>46</v>
      </c>
      <c r="N101" s="37"/>
      <c r="O101" s="37">
        <v>61</v>
      </c>
      <c r="P101" s="37">
        <f>(O101+Q101)/2</f>
        <v>71</v>
      </c>
      <c r="Q101" s="37">
        <v>81</v>
      </c>
      <c r="R101" s="37">
        <f>(Q101+S101)/2</f>
        <v>90.5</v>
      </c>
      <c r="S101" s="37">
        <v>100</v>
      </c>
      <c r="T101" s="37">
        <v>100</v>
      </c>
      <c r="U101" s="37">
        <v>100</v>
      </c>
      <c r="V101" s="37">
        <v>100</v>
      </c>
    </row>
    <row r="102" spans="1:39" x14ac:dyDescent="0.25">
      <c r="A102" s="6">
        <f t="shared" si="4"/>
        <v>24</v>
      </c>
      <c r="B102" s="273" t="str">
        <f t="shared" si="3"/>
        <v>AC T 22 L</v>
      </c>
      <c r="C102" s="37">
        <v>10</v>
      </c>
      <c r="D102" s="37"/>
      <c r="E102" s="37"/>
      <c r="F102" s="37"/>
      <c r="G102" s="37"/>
      <c r="H102" s="37"/>
      <c r="I102" s="37">
        <v>23</v>
      </c>
      <c r="J102" s="37"/>
      <c r="K102" s="37">
        <v>31</v>
      </c>
      <c r="L102" s="37"/>
      <c r="M102" s="37">
        <v>41</v>
      </c>
      <c r="N102" s="37"/>
      <c r="O102" s="37">
        <v>54</v>
      </c>
      <c r="P102" s="37">
        <v>63</v>
      </c>
      <c r="Q102" s="37">
        <v>72</v>
      </c>
      <c r="R102" s="37">
        <v>81</v>
      </c>
      <c r="S102" s="37">
        <f>(R102+T102)/2</f>
        <v>90.5</v>
      </c>
      <c r="T102" s="37">
        <v>100</v>
      </c>
      <c r="U102" s="37">
        <v>100</v>
      </c>
      <c r="V102" s="37">
        <v>100</v>
      </c>
    </row>
    <row r="103" spans="1:39" x14ac:dyDescent="0.25">
      <c r="A103" s="6">
        <f t="shared" si="4"/>
        <v>25</v>
      </c>
      <c r="B103" s="273" t="str">
        <f t="shared" si="3"/>
        <v xml:space="preserve">AC T 22 N </v>
      </c>
      <c r="C103" s="37">
        <v>10</v>
      </c>
      <c r="D103" s="37"/>
      <c r="E103" s="37"/>
      <c r="F103" s="37"/>
      <c r="G103" s="37"/>
      <c r="H103" s="37"/>
      <c r="I103" s="37">
        <v>23</v>
      </c>
      <c r="J103" s="37"/>
      <c r="K103" s="37">
        <v>31</v>
      </c>
      <c r="L103" s="37"/>
      <c r="M103" s="37">
        <v>41</v>
      </c>
      <c r="N103" s="37"/>
      <c r="O103" s="37">
        <v>54</v>
      </c>
      <c r="P103" s="37">
        <v>63</v>
      </c>
      <c r="Q103" s="37">
        <v>72</v>
      </c>
      <c r="R103" s="37">
        <v>81</v>
      </c>
      <c r="S103" s="37">
        <f>(R103+T103)/2</f>
        <v>90.5</v>
      </c>
      <c r="T103" s="37">
        <v>100</v>
      </c>
      <c r="U103" s="37">
        <v>100</v>
      </c>
      <c r="V103" s="37">
        <v>100</v>
      </c>
    </row>
    <row r="104" spans="1:39" x14ac:dyDescent="0.25">
      <c r="A104" s="6">
        <f t="shared" si="4"/>
        <v>26</v>
      </c>
      <c r="B104" s="273" t="str">
        <f t="shared" si="3"/>
        <v xml:space="preserve">AC T 22 S </v>
      </c>
      <c r="C104" s="37">
        <v>10</v>
      </c>
      <c r="D104" s="37"/>
      <c r="E104" s="37"/>
      <c r="F104" s="37"/>
      <c r="G104" s="37"/>
      <c r="H104" s="37"/>
      <c r="I104" s="37">
        <v>23</v>
      </c>
      <c r="J104" s="37"/>
      <c r="K104" s="37">
        <v>31</v>
      </c>
      <c r="L104" s="37"/>
      <c r="M104" s="37">
        <v>41</v>
      </c>
      <c r="N104" s="37"/>
      <c r="O104" s="37">
        <v>54</v>
      </c>
      <c r="P104" s="37">
        <v>63</v>
      </c>
      <c r="Q104" s="37">
        <v>72</v>
      </c>
      <c r="R104" s="37">
        <v>81</v>
      </c>
      <c r="S104" s="37">
        <f>(R104+T104)/2</f>
        <v>90.5</v>
      </c>
      <c r="T104" s="37">
        <v>100</v>
      </c>
      <c r="U104" s="37">
        <v>100</v>
      </c>
      <c r="V104" s="37">
        <v>100</v>
      </c>
    </row>
    <row r="105" spans="1:39" x14ac:dyDescent="0.25">
      <c r="A105" s="6">
        <f t="shared" si="4"/>
        <v>27</v>
      </c>
      <c r="B105" s="273" t="str">
        <f t="shared" si="3"/>
        <v xml:space="preserve">AC T 22 H </v>
      </c>
      <c r="C105" s="37">
        <v>10</v>
      </c>
      <c r="D105" s="37"/>
      <c r="E105" s="37"/>
      <c r="F105" s="37"/>
      <c r="G105" s="37"/>
      <c r="H105" s="37"/>
      <c r="I105" s="37">
        <v>23</v>
      </c>
      <c r="J105" s="37"/>
      <c r="K105" s="37">
        <v>31</v>
      </c>
      <c r="L105" s="37"/>
      <c r="M105" s="37">
        <v>41</v>
      </c>
      <c r="N105" s="37"/>
      <c r="O105" s="37">
        <v>54</v>
      </c>
      <c r="P105" s="37">
        <v>63</v>
      </c>
      <c r="Q105" s="37">
        <v>72</v>
      </c>
      <c r="R105" s="37">
        <v>81</v>
      </c>
      <c r="S105" s="37">
        <f>(R105+T105)/2</f>
        <v>90.5</v>
      </c>
      <c r="T105" s="37">
        <v>100</v>
      </c>
      <c r="U105" s="37">
        <v>100</v>
      </c>
      <c r="V105" s="37">
        <v>100</v>
      </c>
    </row>
    <row r="106" spans="1:39" x14ac:dyDescent="0.25">
      <c r="A106" s="6">
        <f t="shared" si="4"/>
        <v>28</v>
      </c>
      <c r="B106" s="273" t="str">
        <f t="shared" si="3"/>
        <v>AC T 32 S</v>
      </c>
      <c r="C106" s="37">
        <v>10</v>
      </c>
      <c r="D106" s="37"/>
      <c r="E106" s="37"/>
      <c r="F106" s="37"/>
      <c r="G106" s="37"/>
      <c r="H106" s="37"/>
      <c r="I106" s="37">
        <v>21</v>
      </c>
      <c r="J106" s="37"/>
      <c r="K106" s="37">
        <v>28</v>
      </c>
      <c r="L106" s="37"/>
      <c r="M106" s="37">
        <v>36</v>
      </c>
      <c r="N106" s="37"/>
      <c r="O106" s="37">
        <v>47</v>
      </c>
      <c r="P106" s="37">
        <v>55.75</v>
      </c>
      <c r="Q106" s="37">
        <v>64.5</v>
      </c>
      <c r="R106" s="37">
        <v>73.25</v>
      </c>
      <c r="S106" s="37">
        <v>82</v>
      </c>
      <c r="T106" s="37">
        <f>(S106+U106)/2</f>
        <v>91</v>
      </c>
      <c r="U106" s="37">
        <v>100</v>
      </c>
      <c r="V106" s="37">
        <v>100</v>
      </c>
    </row>
    <row r="107" spans="1:39" x14ac:dyDescent="0.25">
      <c r="A107" s="6">
        <f t="shared" si="4"/>
        <v>29</v>
      </c>
      <c r="B107" s="273" t="str">
        <f t="shared" si="3"/>
        <v>AC T 32 H</v>
      </c>
      <c r="C107" s="37">
        <v>10</v>
      </c>
      <c r="D107" s="37"/>
      <c r="E107" s="37"/>
      <c r="F107" s="37"/>
      <c r="G107" s="37"/>
      <c r="H107" s="37"/>
      <c r="I107" s="37">
        <v>21</v>
      </c>
      <c r="J107" s="37"/>
      <c r="K107" s="37">
        <v>28</v>
      </c>
      <c r="L107" s="37"/>
      <c r="M107" s="37">
        <v>36</v>
      </c>
      <c r="N107" s="37"/>
      <c r="O107" s="37">
        <v>47</v>
      </c>
      <c r="P107" s="37">
        <v>55.75</v>
      </c>
      <c r="Q107" s="37">
        <v>64.5</v>
      </c>
      <c r="R107" s="37">
        <v>73.25</v>
      </c>
      <c r="S107" s="37">
        <v>82</v>
      </c>
      <c r="T107" s="37">
        <f>(S107+U107)/2</f>
        <v>91</v>
      </c>
      <c r="U107" s="37">
        <v>100</v>
      </c>
      <c r="V107" s="37">
        <v>100</v>
      </c>
    </row>
    <row r="108" spans="1:39" x14ac:dyDescent="0.25">
      <c r="A108" s="6">
        <f t="shared" si="4"/>
        <v>30</v>
      </c>
      <c r="B108" s="273" t="str">
        <f t="shared" si="3"/>
        <v>AC EME 22 C1</v>
      </c>
      <c r="C108" s="37">
        <v>10</v>
      </c>
      <c r="D108" s="37"/>
      <c r="E108" s="37"/>
      <c r="F108" s="37"/>
      <c r="G108" s="37"/>
      <c r="H108" s="37"/>
      <c r="I108" s="37">
        <v>23</v>
      </c>
      <c r="J108" s="37"/>
      <c r="K108" s="37">
        <v>31</v>
      </c>
      <c r="L108" s="37"/>
      <c r="M108" s="37">
        <v>41</v>
      </c>
      <c r="N108" s="37"/>
      <c r="O108" s="37">
        <v>54</v>
      </c>
      <c r="P108" s="37">
        <v>63</v>
      </c>
      <c r="Q108" s="37">
        <v>72</v>
      </c>
      <c r="R108" s="37">
        <v>81</v>
      </c>
      <c r="S108" s="37">
        <f>(R108+T108)/2</f>
        <v>90.5</v>
      </c>
      <c r="T108" s="37">
        <v>100</v>
      </c>
      <c r="U108" s="37">
        <v>100</v>
      </c>
      <c r="V108" s="37">
        <v>100</v>
      </c>
    </row>
    <row r="109" spans="1:39" x14ac:dyDescent="0.25">
      <c r="A109" s="6">
        <f t="shared" si="4"/>
        <v>31</v>
      </c>
      <c r="B109" s="273" t="str">
        <f t="shared" si="3"/>
        <v>AC EME 22 C2</v>
      </c>
      <c r="C109" s="37">
        <v>12</v>
      </c>
      <c r="D109" s="37"/>
      <c r="E109" s="37"/>
      <c r="F109" s="37"/>
      <c r="G109" s="37"/>
      <c r="H109" s="37"/>
      <c r="I109" s="37">
        <v>23</v>
      </c>
      <c r="J109" s="37"/>
      <c r="K109" s="37">
        <v>31</v>
      </c>
      <c r="L109" s="37"/>
      <c r="M109" s="37">
        <v>41</v>
      </c>
      <c r="N109" s="37"/>
      <c r="O109" s="37">
        <v>54</v>
      </c>
      <c r="P109" s="37">
        <v>63</v>
      </c>
      <c r="Q109" s="37">
        <v>72</v>
      </c>
      <c r="R109" s="37">
        <v>81</v>
      </c>
      <c r="S109" s="37">
        <f>(R109+T109)/2</f>
        <v>90.5</v>
      </c>
      <c r="T109" s="37">
        <v>100</v>
      </c>
      <c r="U109" s="37">
        <v>100</v>
      </c>
      <c r="V109" s="37">
        <v>100</v>
      </c>
    </row>
    <row r="110" spans="1:39" x14ac:dyDescent="0.25">
      <c r="A110" s="6">
        <f t="shared" si="4"/>
        <v>32</v>
      </c>
      <c r="B110" s="273" t="str">
        <f t="shared" si="3"/>
        <v>ACF 22</v>
      </c>
      <c r="C110" s="37">
        <v>11</v>
      </c>
      <c r="D110" s="37"/>
      <c r="E110" s="37"/>
      <c r="F110" s="37"/>
      <c r="G110" s="37"/>
      <c r="H110" s="37"/>
      <c r="I110" s="37">
        <v>26</v>
      </c>
      <c r="J110" s="37"/>
      <c r="K110" s="37">
        <v>34</v>
      </c>
      <c r="L110" s="37"/>
      <c r="M110" s="37">
        <v>44</v>
      </c>
      <c r="N110" s="37"/>
      <c r="O110" s="37">
        <v>57</v>
      </c>
      <c r="P110" s="37">
        <v>66.7</v>
      </c>
      <c r="Q110" s="37">
        <v>76.400000000000006</v>
      </c>
      <c r="R110" s="37">
        <v>83</v>
      </c>
      <c r="S110" s="37">
        <f>(R110+T110)/2</f>
        <v>91.5</v>
      </c>
      <c r="T110" s="37">
        <v>100</v>
      </c>
      <c r="U110" s="37">
        <v>100</v>
      </c>
      <c r="V110" s="37">
        <v>100</v>
      </c>
    </row>
    <row r="111" spans="1:39" x14ac:dyDescent="0.25">
      <c r="A111" s="6">
        <f t="shared" si="4"/>
        <v>33</v>
      </c>
      <c r="B111" s="273" t="str">
        <f t="shared" si="3"/>
        <v>ACF 32</v>
      </c>
      <c r="C111" s="37">
        <v>10</v>
      </c>
      <c r="D111" s="37"/>
      <c r="E111" s="37"/>
      <c r="F111" s="37"/>
      <c r="G111" s="37"/>
      <c r="H111" s="37"/>
      <c r="I111" s="37">
        <v>23</v>
      </c>
      <c r="J111" s="37"/>
      <c r="K111" s="37">
        <v>30</v>
      </c>
      <c r="L111" s="37"/>
      <c r="M111" s="37">
        <v>39</v>
      </c>
      <c r="N111" s="37"/>
      <c r="O111" s="37">
        <v>51</v>
      </c>
      <c r="P111" s="37">
        <v>59</v>
      </c>
      <c r="Q111" s="37">
        <v>67</v>
      </c>
      <c r="R111" s="37">
        <v>75</v>
      </c>
      <c r="S111" s="37">
        <v>83</v>
      </c>
      <c r="T111" s="37">
        <f>(S111+U111)/2</f>
        <v>91.5</v>
      </c>
      <c r="U111" s="37">
        <v>100</v>
      </c>
      <c r="V111" s="37">
        <v>100</v>
      </c>
    </row>
    <row r="112" spans="1:39" x14ac:dyDescent="0.25">
      <c r="A112" s="6">
        <f t="shared" si="4"/>
        <v>34</v>
      </c>
      <c r="B112" s="273" t="str">
        <f t="shared" si="3"/>
        <v>AC RAIL 16</v>
      </c>
      <c r="C112" s="37">
        <v>10</v>
      </c>
      <c r="D112" s="37"/>
      <c r="E112" s="37"/>
      <c r="F112" s="37"/>
      <c r="G112" s="37"/>
      <c r="H112" s="37"/>
      <c r="I112" s="37">
        <v>23</v>
      </c>
      <c r="J112" s="37"/>
      <c r="K112" s="37">
        <v>31</v>
      </c>
      <c r="L112" s="37"/>
      <c r="M112" s="37">
        <v>41</v>
      </c>
      <c r="N112" s="37"/>
      <c r="O112" s="37">
        <v>54</v>
      </c>
      <c r="P112" s="37">
        <f>((R112-O112)/3)+O112</f>
        <v>63</v>
      </c>
      <c r="Q112" s="37">
        <f>((R112-O112)/3*2)+O112</f>
        <v>72</v>
      </c>
      <c r="R112" s="37">
        <v>81</v>
      </c>
      <c r="S112" s="37">
        <f>(R112+T112)/2</f>
        <v>90.5</v>
      </c>
      <c r="T112" s="37">
        <v>100</v>
      </c>
      <c r="U112" s="37">
        <v>100</v>
      </c>
      <c r="V112" s="37">
        <v>100</v>
      </c>
    </row>
    <row r="113" spans="1:22" x14ac:dyDescent="0.25">
      <c r="A113" s="6">
        <f t="shared" si="4"/>
        <v>35</v>
      </c>
      <c r="B113" s="273" t="str">
        <f t="shared" si="3"/>
        <v>AC RAIL 22</v>
      </c>
      <c r="C113" s="37">
        <v>10</v>
      </c>
      <c r="D113" s="37"/>
      <c r="E113" s="37"/>
      <c r="F113" s="37"/>
      <c r="G113" s="37"/>
      <c r="H113" s="37"/>
      <c r="I113" s="37">
        <v>23</v>
      </c>
      <c r="J113" s="37"/>
      <c r="K113" s="37">
        <v>31</v>
      </c>
      <c r="L113" s="37"/>
      <c r="M113" s="37">
        <v>41</v>
      </c>
      <c r="N113" s="37"/>
      <c r="O113" s="37">
        <v>54</v>
      </c>
      <c r="P113" s="37">
        <v>63</v>
      </c>
      <c r="Q113" s="37">
        <v>72</v>
      </c>
      <c r="R113" s="37">
        <v>81</v>
      </c>
      <c r="S113" s="37">
        <f>(R113+T113)/2</f>
        <v>90.5</v>
      </c>
      <c r="T113" s="37">
        <v>100</v>
      </c>
      <c r="U113" s="37">
        <v>100</v>
      </c>
      <c r="V113" s="37">
        <v>100</v>
      </c>
    </row>
    <row r="114" spans="1:22" x14ac:dyDescent="0.25">
      <c r="A114" s="6">
        <f t="shared" si="4"/>
        <v>36</v>
      </c>
      <c r="B114" s="273" t="str">
        <f t="shared" si="3"/>
        <v xml:space="preserve">SMA 8 </v>
      </c>
      <c r="C114" s="37">
        <v>12</v>
      </c>
      <c r="D114" s="37"/>
      <c r="E114" s="37"/>
      <c r="F114" s="37"/>
      <c r="G114" s="37"/>
      <c r="H114" s="37"/>
      <c r="I114" s="37">
        <v>20</v>
      </c>
      <c r="J114" s="37"/>
      <c r="K114" s="37">
        <v>25</v>
      </c>
      <c r="L114" s="37"/>
      <c r="M114" s="37">
        <v>30</v>
      </c>
      <c r="N114" s="37"/>
      <c r="O114" s="37">
        <v>40</v>
      </c>
      <c r="P114" s="37">
        <f>(O114+Q114)/2</f>
        <v>70</v>
      </c>
      <c r="Q114" s="37">
        <v>100</v>
      </c>
      <c r="R114" s="37">
        <v>100</v>
      </c>
      <c r="S114" s="37">
        <v>100</v>
      </c>
      <c r="T114" s="37">
        <v>100</v>
      </c>
      <c r="U114" s="37">
        <v>100</v>
      </c>
      <c r="V114" s="37">
        <v>100</v>
      </c>
    </row>
    <row r="115" spans="1:22" x14ac:dyDescent="0.25">
      <c r="A115" s="6">
        <f t="shared" si="4"/>
        <v>37</v>
      </c>
      <c r="B115" s="273" t="str">
        <f t="shared" si="3"/>
        <v xml:space="preserve">SMA 11 </v>
      </c>
      <c r="C115" s="37">
        <v>12</v>
      </c>
      <c r="D115" s="37"/>
      <c r="E115" s="37"/>
      <c r="F115" s="37"/>
      <c r="G115" s="37"/>
      <c r="H115" s="37"/>
      <c r="I115" s="37">
        <v>20</v>
      </c>
      <c r="J115" s="37"/>
      <c r="K115" s="37">
        <v>25</v>
      </c>
      <c r="L115" s="37"/>
      <c r="M115" s="37">
        <v>30</v>
      </c>
      <c r="N115" s="37"/>
      <c r="O115" s="37">
        <v>40</v>
      </c>
      <c r="P115" s="37">
        <v>55</v>
      </c>
      <c r="Q115" s="37">
        <v>70</v>
      </c>
      <c r="R115" s="37">
        <v>100</v>
      </c>
      <c r="S115" s="37">
        <f>(R115+T115)/2</f>
        <v>100</v>
      </c>
      <c r="T115" s="37">
        <v>100</v>
      </c>
      <c r="U115" s="37">
        <v>100</v>
      </c>
      <c r="V115" s="37">
        <v>100</v>
      </c>
    </row>
    <row r="116" spans="1:22" x14ac:dyDescent="0.25">
      <c r="A116" s="6">
        <f t="shared" si="4"/>
        <v>38</v>
      </c>
      <c r="B116" s="273" t="str">
        <f t="shared" si="3"/>
        <v>PA 8</v>
      </c>
      <c r="C116" s="37">
        <v>5</v>
      </c>
      <c r="D116" s="37"/>
      <c r="E116" s="37"/>
      <c r="F116" s="37"/>
      <c r="G116" s="37"/>
      <c r="H116" s="37"/>
      <c r="I116" s="37">
        <v>10</v>
      </c>
      <c r="J116" s="37"/>
      <c r="K116" s="37">
        <f>(I116+M116)/2</f>
        <v>13.5</v>
      </c>
      <c r="L116" s="37"/>
      <c r="M116" s="37">
        <v>17</v>
      </c>
      <c r="N116" s="37"/>
      <c r="O116" s="37">
        <v>35</v>
      </c>
      <c r="P116" s="37">
        <f>(O116+Q116)/2</f>
        <v>67.5</v>
      </c>
      <c r="Q116" s="37">
        <v>100</v>
      </c>
      <c r="R116" s="37">
        <v>100</v>
      </c>
      <c r="S116" s="37">
        <v>100</v>
      </c>
      <c r="T116" s="37">
        <v>100</v>
      </c>
      <c r="U116" s="37">
        <v>100</v>
      </c>
      <c r="V116" s="37">
        <v>100</v>
      </c>
    </row>
    <row r="117" spans="1:22" x14ac:dyDescent="0.25">
      <c r="A117" s="6">
        <f t="shared" si="4"/>
        <v>39</v>
      </c>
      <c r="B117" s="273" t="str">
        <f t="shared" si="3"/>
        <v>PA 11</v>
      </c>
      <c r="C117" s="37">
        <v>5</v>
      </c>
      <c r="D117" s="37"/>
      <c r="E117" s="37"/>
      <c r="F117" s="37"/>
      <c r="G117" s="37"/>
      <c r="H117" s="37"/>
      <c r="I117" s="37">
        <v>10</v>
      </c>
      <c r="J117" s="37"/>
      <c r="K117" s="37">
        <f>(I117+M117)/2</f>
        <v>12.5</v>
      </c>
      <c r="L117" s="37"/>
      <c r="M117" s="37">
        <v>15</v>
      </c>
      <c r="N117" s="37"/>
      <c r="O117" s="37">
        <v>23.3</v>
      </c>
      <c r="P117" s="37">
        <v>31.6</v>
      </c>
      <c r="Q117" s="37">
        <v>40</v>
      </c>
      <c r="R117" s="37">
        <v>100</v>
      </c>
      <c r="S117" s="37">
        <v>100</v>
      </c>
      <c r="T117" s="37">
        <v>100</v>
      </c>
      <c r="U117" s="37">
        <v>100</v>
      </c>
      <c r="V117" s="37">
        <v>100</v>
      </c>
    </row>
    <row r="118" spans="1:22" x14ac:dyDescent="0.25">
      <c r="A118" s="6">
        <f t="shared" si="4"/>
        <v>40</v>
      </c>
      <c r="B118" s="273" t="str">
        <f t="shared" si="3"/>
        <v>PA B 16</v>
      </c>
      <c r="C118" s="37">
        <v>5</v>
      </c>
      <c r="D118" s="37"/>
      <c r="E118" s="37"/>
      <c r="F118" s="37"/>
      <c r="G118" s="37"/>
      <c r="H118" s="37"/>
      <c r="I118" s="37">
        <v>10</v>
      </c>
      <c r="J118" s="37"/>
      <c r="K118" s="37">
        <v>12</v>
      </c>
      <c r="L118" s="37"/>
      <c r="M118" s="37">
        <v>14</v>
      </c>
      <c r="N118" s="37"/>
      <c r="O118" s="37">
        <v>21</v>
      </c>
      <c r="P118" s="37">
        <v>28</v>
      </c>
      <c r="Q118" s="37">
        <v>35</v>
      </c>
      <c r="R118" s="37">
        <f>(Q118+S118)/2</f>
        <v>67.5</v>
      </c>
      <c r="S118" s="37">
        <v>100</v>
      </c>
      <c r="T118" s="37">
        <v>100</v>
      </c>
      <c r="U118" s="37">
        <v>100</v>
      </c>
      <c r="V118" s="37">
        <v>100</v>
      </c>
    </row>
    <row r="119" spans="1:22" x14ac:dyDescent="0.25">
      <c r="A119" s="6">
        <f t="shared" si="4"/>
        <v>41</v>
      </c>
      <c r="B119" s="273" t="str">
        <f t="shared" si="3"/>
        <v>PA B 22</v>
      </c>
      <c r="C119" s="37">
        <v>5</v>
      </c>
      <c r="D119" s="37"/>
      <c r="E119" s="37"/>
      <c r="F119" s="37"/>
      <c r="G119" s="37"/>
      <c r="H119" s="37"/>
      <c r="I119" s="37">
        <v>10</v>
      </c>
      <c r="J119" s="37"/>
      <c r="K119" s="37">
        <f>(I119+M119)/2</f>
        <v>11.5</v>
      </c>
      <c r="L119" s="37"/>
      <c r="M119" s="37">
        <v>13</v>
      </c>
      <c r="N119" s="37"/>
      <c r="O119" s="37">
        <v>18.5</v>
      </c>
      <c r="P119" s="37">
        <v>24</v>
      </c>
      <c r="Q119" s="37">
        <v>29.5</v>
      </c>
      <c r="R119" s="37">
        <v>35</v>
      </c>
      <c r="S119" s="37">
        <f>(R119+T119)/2</f>
        <v>67.5</v>
      </c>
      <c r="T119" s="37">
        <v>100</v>
      </c>
      <c r="U119" s="37">
        <v>100</v>
      </c>
      <c r="V119" s="37">
        <v>100</v>
      </c>
    </row>
    <row r="120" spans="1:22" x14ac:dyDescent="0.25">
      <c r="A120" s="6">
        <f t="shared" si="4"/>
        <v>42</v>
      </c>
      <c r="B120" s="273" t="str">
        <f t="shared" si="3"/>
        <v>PA S 16</v>
      </c>
      <c r="C120" s="37">
        <v>5</v>
      </c>
      <c r="D120" s="37"/>
      <c r="E120" s="37"/>
      <c r="F120" s="37"/>
      <c r="G120" s="37"/>
      <c r="H120" s="37"/>
      <c r="I120" s="37">
        <v>10</v>
      </c>
      <c r="J120" s="37"/>
      <c r="K120" s="37">
        <f>(I120+M120)/2</f>
        <v>15</v>
      </c>
      <c r="L120" s="37"/>
      <c r="M120" s="37">
        <v>20</v>
      </c>
      <c r="N120" s="37"/>
      <c r="O120" s="37">
        <v>33.33</v>
      </c>
      <c r="P120" s="37">
        <v>46.66</v>
      </c>
      <c r="Q120" s="37">
        <v>60</v>
      </c>
      <c r="R120" s="37">
        <f>(Q120+S120)/2</f>
        <v>80</v>
      </c>
      <c r="S120" s="37">
        <v>100</v>
      </c>
      <c r="T120" s="37">
        <v>100</v>
      </c>
      <c r="U120" s="37">
        <v>100</v>
      </c>
      <c r="V120" s="37">
        <v>100</v>
      </c>
    </row>
    <row r="121" spans="1:22" x14ac:dyDescent="0.25">
      <c r="A121" s="6">
        <f t="shared" si="4"/>
        <v>43</v>
      </c>
      <c r="B121" s="273" t="str">
        <f>B55</f>
        <v>PA S 22</v>
      </c>
      <c r="C121" s="37">
        <v>5</v>
      </c>
      <c r="D121" s="37"/>
      <c r="E121" s="37"/>
      <c r="F121" s="37"/>
      <c r="G121" s="37"/>
      <c r="H121" s="37"/>
      <c r="I121" s="37">
        <v>10</v>
      </c>
      <c r="J121" s="37"/>
      <c r="K121" s="37">
        <f>(I121+M121)/2</f>
        <v>15</v>
      </c>
      <c r="L121" s="37"/>
      <c r="M121" s="37">
        <v>20</v>
      </c>
      <c r="N121" s="37"/>
      <c r="O121" s="37">
        <v>31.25</v>
      </c>
      <c r="P121" s="37">
        <v>42.5</v>
      </c>
      <c r="Q121" s="37">
        <v>53.75</v>
      </c>
      <c r="R121" s="37">
        <v>65</v>
      </c>
      <c r="S121" s="37">
        <f>(R121+T121)/2</f>
        <v>82.5</v>
      </c>
      <c r="T121" s="37">
        <v>100</v>
      </c>
      <c r="U121" s="37">
        <v>100</v>
      </c>
      <c r="V121" s="37">
        <v>100</v>
      </c>
    </row>
    <row r="122" spans="1:22" x14ac:dyDescent="0.25">
      <c r="A122" s="6">
        <f t="shared" si="4"/>
        <v>44</v>
      </c>
      <c r="B122" s="273" t="str">
        <f t="shared" ref="B122:B127" si="6">B56</f>
        <v>PA S 32</v>
      </c>
      <c r="C122" s="37">
        <v>5</v>
      </c>
      <c r="D122" s="37"/>
      <c r="E122" s="37"/>
      <c r="F122" s="37"/>
      <c r="G122" s="37"/>
      <c r="H122" s="37"/>
      <c r="I122" s="37">
        <v>10</v>
      </c>
      <c r="J122" s="37"/>
      <c r="K122" s="37">
        <f>(I122+M122)/2</f>
        <v>15</v>
      </c>
      <c r="L122" s="37"/>
      <c r="M122" s="37">
        <v>20</v>
      </c>
      <c r="N122" s="37"/>
      <c r="O122" s="37">
        <v>30</v>
      </c>
      <c r="P122" s="37">
        <v>40</v>
      </c>
      <c r="Q122" s="37">
        <v>50</v>
      </c>
      <c r="R122" s="37">
        <v>60</v>
      </c>
      <c r="S122" s="37">
        <v>73.33</v>
      </c>
      <c r="T122" s="37">
        <v>86.66</v>
      </c>
      <c r="U122" s="37">
        <v>100</v>
      </c>
      <c r="V122" s="37">
        <v>100</v>
      </c>
    </row>
    <row r="123" spans="1:22" x14ac:dyDescent="0.25">
      <c r="A123" s="6">
        <f t="shared" si="4"/>
        <v>45</v>
      </c>
      <c r="B123" s="273" t="str">
        <f t="shared" si="6"/>
        <v>SDA 4 - 12</v>
      </c>
      <c r="C123" s="37">
        <v>11</v>
      </c>
      <c r="D123" s="37"/>
      <c r="E123" s="37"/>
      <c r="F123" s="37"/>
      <c r="G123" s="37"/>
      <c r="H123" s="37"/>
      <c r="I123" s="37">
        <v>21</v>
      </c>
      <c r="J123" s="37"/>
      <c r="K123" s="37">
        <v>25</v>
      </c>
      <c r="L123" s="37"/>
      <c r="M123" s="37">
        <v>35</v>
      </c>
      <c r="N123" s="37"/>
      <c r="O123" s="37">
        <v>100</v>
      </c>
      <c r="P123" s="37">
        <v>100</v>
      </c>
      <c r="Q123" s="37">
        <v>100</v>
      </c>
      <c r="R123" s="37">
        <f>(Q123+S123)/2</f>
        <v>100</v>
      </c>
      <c r="S123" s="37">
        <v>100</v>
      </c>
      <c r="T123" s="37">
        <v>100</v>
      </c>
      <c r="U123" s="37">
        <v>100</v>
      </c>
      <c r="V123" s="37">
        <v>100</v>
      </c>
    </row>
    <row r="124" spans="1:22" x14ac:dyDescent="0.25">
      <c r="A124" s="6">
        <f t="shared" si="4"/>
        <v>46</v>
      </c>
      <c r="B124" s="273" t="str">
        <f t="shared" si="6"/>
        <v>SDA 4 - 16</v>
      </c>
      <c r="C124" s="37">
        <v>11</v>
      </c>
      <c r="D124" s="37"/>
      <c r="E124" s="37"/>
      <c r="F124" s="37"/>
      <c r="G124" s="37"/>
      <c r="H124" s="37"/>
      <c r="I124" s="37">
        <v>21</v>
      </c>
      <c r="J124" s="37"/>
      <c r="K124" s="37">
        <v>25</v>
      </c>
      <c r="L124" s="37"/>
      <c r="M124" s="37">
        <v>35</v>
      </c>
      <c r="N124" s="37"/>
      <c r="O124" s="37">
        <v>100</v>
      </c>
      <c r="P124" s="37">
        <v>100</v>
      </c>
      <c r="Q124" s="37">
        <v>100</v>
      </c>
      <c r="R124" s="37">
        <v>100</v>
      </c>
      <c r="S124" s="37">
        <f>(R124+T124)/2</f>
        <v>100</v>
      </c>
      <c r="T124" s="37">
        <v>100</v>
      </c>
      <c r="U124" s="37">
        <v>100</v>
      </c>
      <c r="V124" s="37">
        <v>100</v>
      </c>
    </row>
    <row r="125" spans="1:22" x14ac:dyDescent="0.25">
      <c r="A125" s="6">
        <f t="shared" si="4"/>
        <v>47</v>
      </c>
      <c r="B125" s="273" t="str">
        <f t="shared" si="6"/>
        <v>SDA 4 - 20</v>
      </c>
      <c r="C125" s="37">
        <v>11</v>
      </c>
      <c r="D125" s="37"/>
      <c r="E125" s="37"/>
      <c r="F125" s="37"/>
      <c r="G125" s="37"/>
      <c r="H125" s="37"/>
      <c r="I125" s="37">
        <v>21</v>
      </c>
      <c r="J125" s="37"/>
      <c r="K125" s="37">
        <v>25</v>
      </c>
      <c r="L125" s="37"/>
      <c r="M125" s="37">
        <v>35</v>
      </c>
      <c r="N125" s="37"/>
      <c r="O125" s="37">
        <v>100</v>
      </c>
      <c r="P125" s="37">
        <v>100</v>
      </c>
      <c r="Q125" s="37">
        <v>100</v>
      </c>
      <c r="R125" s="37">
        <f>(Q125+S125)/2</f>
        <v>100</v>
      </c>
      <c r="S125" s="37">
        <v>100</v>
      </c>
      <c r="T125" s="37">
        <v>100</v>
      </c>
      <c r="U125" s="37">
        <v>100</v>
      </c>
      <c r="V125" s="37">
        <v>100</v>
      </c>
    </row>
    <row r="126" spans="1:22" x14ac:dyDescent="0.25">
      <c r="A126" s="6">
        <f t="shared" si="4"/>
        <v>48</v>
      </c>
      <c r="B126" s="273" t="str">
        <f t="shared" si="6"/>
        <v>SDA 8 - 12</v>
      </c>
      <c r="C126" s="37">
        <v>9</v>
      </c>
      <c r="D126" s="37"/>
      <c r="E126" s="37"/>
      <c r="F126" s="37"/>
      <c r="G126" s="37"/>
      <c r="H126" s="37"/>
      <c r="I126" s="37">
        <v>14</v>
      </c>
      <c r="J126" s="37"/>
      <c r="K126" s="37">
        <v>18</v>
      </c>
      <c r="L126" s="37"/>
      <c r="M126" s="37">
        <v>25</v>
      </c>
      <c r="N126" s="37"/>
      <c r="O126" s="37">
        <v>35</v>
      </c>
      <c r="P126" s="37">
        <v>70</v>
      </c>
      <c r="Q126" s="37">
        <v>100</v>
      </c>
      <c r="R126" s="37">
        <v>100</v>
      </c>
      <c r="S126" s="37">
        <v>100</v>
      </c>
      <c r="T126" s="37">
        <v>100</v>
      </c>
      <c r="U126" s="37">
        <v>100</v>
      </c>
      <c r="V126" s="37">
        <v>100</v>
      </c>
    </row>
    <row r="127" spans="1:22" x14ac:dyDescent="0.25">
      <c r="A127" s="6">
        <f t="shared" si="4"/>
        <v>49</v>
      </c>
      <c r="B127" s="273" t="str">
        <f t="shared" si="6"/>
        <v>SDA 8 - 16</v>
      </c>
      <c r="C127" s="37">
        <v>9</v>
      </c>
      <c r="D127" s="37"/>
      <c r="E127" s="37"/>
      <c r="F127" s="37"/>
      <c r="G127" s="37"/>
      <c r="H127" s="37"/>
      <c r="I127" s="37">
        <v>14</v>
      </c>
      <c r="J127" s="37"/>
      <c r="K127" s="37">
        <v>18</v>
      </c>
      <c r="L127" s="37"/>
      <c r="M127" s="37">
        <v>25</v>
      </c>
      <c r="N127" s="37"/>
      <c r="O127" s="37">
        <v>35</v>
      </c>
      <c r="P127" s="37">
        <v>70</v>
      </c>
      <c r="Q127" s="37">
        <v>100</v>
      </c>
      <c r="R127" s="37">
        <v>100</v>
      </c>
      <c r="S127" s="37">
        <v>100</v>
      </c>
      <c r="T127" s="37">
        <v>100</v>
      </c>
      <c r="U127" s="37">
        <v>100</v>
      </c>
      <c r="V127" s="37">
        <v>100</v>
      </c>
    </row>
    <row r="128" spans="1:22" x14ac:dyDescent="0.25">
      <c r="A128" s="6">
        <f t="shared" si="4"/>
        <v>50</v>
      </c>
      <c r="B128" s="27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x14ac:dyDescent="0.25">
      <c r="A129" s="6">
        <f t="shared" si="4"/>
        <v>51</v>
      </c>
      <c r="B129" s="273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x14ac:dyDescent="0.25">
      <c r="A130" s="6">
        <f t="shared" si="4"/>
        <v>52</v>
      </c>
      <c r="B130" s="273">
        <f t="shared" ref="B130:B140" si="7">B64</f>
        <v>0</v>
      </c>
      <c r="K130" s="37"/>
    </row>
    <row r="131" spans="1:22" x14ac:dyDescent="0.25">
      <c r="A131" s="6">
        <f t="shared" si="4"/>
        <v>53</v>
      </c>
      <c r="B131" s="273">
        <f t="shared" si="7"/>
        <v>0</v>
      </c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x14ac:dyDescent="0.25">
      <c r="A132" s="6">
        <f t="shared" si="4"/>
        <v>54</v>
      </c>
      <c r="B132" s="273">
        <f t="shared" si="7"/>
        <v>0</v>
      </c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x14ac:dyDescent="0.25">
      <c r="A133" s="6">
        <f t="shared" si="4"/>
        <v>55</v>
      </c>
      <c r="B133" s="273">
        <f t="shared" si="7"/>
        <v>0</v>
      </c>
      <c r="K133" s="37"/>
      <c r="P133" s="37"/>
    </row>
    <row r="134" spans="1:22" x14ac:dyDescent="0.25">
      <c r="A134" s="6">
        <f t="shared" si="4"/>
        <v>56</v>
      </c>
      <c r="B134" s="273">
        <f t="shared" si="7"/>
        <v>0</v>
      </c>
      <c r="K134" s="37"/>
      <c r="P134" s="37"/>
    </row>
    <row r="135" spans="1:22" x14ac:dyDescent="0.25">
      <c r="A135" s="6">
        <f t="shared" si="4"/>
        <v>57</v>
      </c>
      <c r="B135" s="273">
        <f t="shared" si="7"/>
        <v>0</v>
      </c>
      <c r="K135" s="37"/>
      <c r="P135" s="37"/>
    </row>
    <row r="136" spans="1:22" x14ac:dyDescent="0.25">
      <c r="A136" s="6">
        <f t="shared" si="4"/>
        <v>58</v>
      </c>
      <c r="B136" s="273">
        <f t="shared" si="7"/>
        <v>0</v>
      </c>
      <c r="K136" s="37"/>
      <c r="P136" s="37"/>
    </row>
    <row r="137" spans="1:22" x14ac:dyDescent="0.25">
      <c r="A137" s="6">
        <f t="shared" si="4"/>
        <v>59</v>
      </c>
      <c r="B137" s="273">
        <f t="shared" si="7"/>
        <v>0</v>
      </c>
      <c r="K137" s="37"/>
      <c r="P137" s="37"/>
      <c r="R137" s="37"/>
    </row>
    <row r="138" spans="1:22" x14ac:dyDescent="0.25">
      <c r="A138" s="6">
        <f t="shared" si="4"/>
        <v>60</v>
      </c>
      <c r="B138" s="273">
        <f t="shared" si="7"/>
        <v>0</v>
      </c>
      <c r="K138" s="37"/>
      <c r="P138" s="37"/>
      <c r="R138" s="37"/>
    </row>
    <row r="139" spans="1:22" x14ac:dyDescent="0.25">
      <c r="A139" s="6">
        <f t="shared" si="4"/>
        <v>61</v>
      </c>
      <c r="B139" s="273">
        <f t="shared" si="7"/>
        <v>0</v>
      </c>
      <c r="K139" s="37"/>
      <c r="P139" s="37"/>
      <c r="R139" s="37"/>
    </row>
    <row r="140" spans="1:22" x14ac:dyDescent="0.25">
      <c r="A140" s="6">
        <f t="shared" si="4"/>
        <v>62</v>
      </c>
      <c r="B140" s="273">
        <f t="shared" si="7"/>
        <v>0</v>
      </c>
      <c r="K140" s="37"/>
      <c r="P140" s="37"/>
      <c r="R140" s="37"/>
    </row>
    <row r="143" spans="1:22" x14ac:dyDescent="0.25">
      <c r="B143" s="38" t="s">
        <v>7</v>
      </c>
    </row>
    <row r="145" spans="1:21" x14ac:dyDescent="0.25">
      <c r="A145" s="6">
        <v>2</v>
      </c>
      <c r="B145" s="273" t="str">
        <f t="shared" ref="B145:B157" si="8">B80</f>
        <v>AC 4 L</v>
      </c>
      <c r="C145" s="180">
        <v>2</v>
      </c>
      <c r="D145" s="180"/>
      <c r="E145" s="180"/>
      <c r="F145" s="180"/>
      <c r="G145" s="180"/>
      <c r="H145" s="180"/>
      <c r="I145" s="180"/>
      <c r="J145" s="180"/>
      <c r="K145" s="180">
        <v>4</v>
      </c>
      <c r="L145" s="180"/>
      <c r="M145" s="180">
        <v>6</v>
      </c>
      <c r="N145" s="180"/>
      <c r="O145" s="271" t="s">
        <v>8</v>
      </c>
      <c r="P145" s="180"/>
      <c r="Q145" s="180"/>
      <c r="R145" s="271"/>
      <c r="S145" s="180"/>
      <c r="T145" s="180"/>
      <c r="U145" s="180"/>
    </row>
    <row r="146" spans="1:21" x14ac:dyDescent="0.25">
      <c r="A146" s="6">
        <f>A145+1</f>
        <v>3</v>
      </c>
      <c r="B146" s="273" t="str">
        <f t="shared" si="8"/>
        <v>AC 8 L</v>
      </c>
      <c r="C146" s="180">
        <v>2</v>
      </c>
      <c r="D146" s="180"/>
      <c r="E146" s="180"/>
      <c r="F146" s="180"/>
      <c r="G146" s="180"/>
      <c r="H146" s="180"/>
      <c r="I146" s="180"/>
      <c r="J146" s="180"/>
      <c r="K146" s="180">
        <v>4</v>
      </c>
      <c r="L146" s="180"/>
      <c r="M146" s="180">
        <v>6</v>
      </c>
      <c r="N146" s="180"/>
      <c r="O146" s="180">
        <v>7</v>
      </c>
      <c r="P146" s="180"/>
      <c r="Q146" s="271" t="s">
        <v>8</v>
      </c>
      <c r="R146" s="271"/>
      <c r="S146" s="180"/>
      <c r="T146" s="180"/>
      <c r="U146" s="180"/>
    </row>
    <row r="147" spans="1:21" x14ac:dyDescent="0.25">
      <c r="A147" s="6">
        <f t="shared" ref="A147:A205" si="9">A146+1</f>
        <v>4</v>
      </c>
      <c r="B147" s="273" t="str">
        <f t="shared" si="8"/>
        <v>AC 11 L</v>
      </c>
      <c r="C147" s="180">
        <v>2</v>
      </c>
      <c r="D147" s="180"/>
      <c r="E147" s="180"/>
      <c r="F147" s="180"/>
      <c r="G147" s="180"/>
      <c r="H147" s="180"/>
      <c r="I147" s="180"/>
      <c r="J147" s="180"/>
      <c r="K147" s="180">
        <v>4</v>
      </c>
      <c r="L147" s="180"/>
      <c r="M147" s="180">
        <v>6</v>
      </c>
      <c r="N147" s="180"/>
      <c r="O147" s="180">
        <v>7</v>
      </c>
      <c r="P147" s="180"/>
      <c r="Q147" s="180"/>
      <c r="R147" s="271" t="s">
        <v>8</v>
      </c>
      <c r="S147" s="180"/>
      <c r="T147" s="180"/>
      <c r="U147" s="180"/>
    </row>
    <row r="148" spans="1:21" x14ac:dyDescent="0.25">
      <c r="A148" s="6">
        <f t="shared" si="9"/>
        <v>5</v>
      </c>
      <c r="B148" s="273" t="str">
        <f t="shared" si="8"/>
        <v>AC 16 L</v>
      </c>
      <c r="C148" s="180">
        <v>3</v>
      </c>
      <c r="D148" s="180"/>
      <c r="E148" s="180"/>
      <c r="F148" s="180"/>
      <c r="G148" s="180"/>
      <c r="H148" s="180"/>
      <c r="I148" s="180"/>
      <c r="J148" s="180"/>
      <c r="K148" s="180">
        <v>5</v>
      </c>
      <c r="L148" s="180"/>
      <c r="M148" s="180">
        <v>7</v>
      </c>
      <c r="N148" s="180"/>
      <c r="O148" s="180"/>
      <c r="P148" s="180"/>
      <c r="Q148" s="180">
        <v>9</v>
      </c>
      <c r="R148" s="271"/>
      <c r="S148" s="180" t="s">
        <v>9</v>
      </c>
      <c r="T148" s="180"/>
      <c r="U148" s="180"/>
    </row>
    <row r="149" spans="1:21" x14ac:dyDescent="0.25">
      <c r="A149" s="6">
        <f t="shared" si="9"/>
        <v>6</v>
      </c>
      <c r="B149" s="273" t="str">
        <f t="shared" si="8"/>
        <v xml:space="preserve">AC 8 N </v>
      </c>
      <c r="C149" s="180">
        <v>2</v>
      </c>
      <c r="D149" s="180"/>
      <c r="E149" s="180"/>
      <c r="F149" s="180"/>
      <c r="G149" s="180"/>
      <c r="H149" s="180"/>
      <c r="I149" s="180"/>
      <c r="J149" s="180"/>
      <c r="K149" s="180">
        <v>4</v>
      </c>
      <c r="L149" s="180"/>
      <c r="M149" s="180">
        <v>6</v>
      </c>
      <c r="N149" s="180"/>
      <c r="O149" s="180">
        <v>7</v>
      </c>
      <c r="P149" s="180"/>
      <c r="Q149" s="271" t="s">
        <v>8</v>
      </c>
      <c r="R149" s="271"/>
      <c r="S149" s="180"/>
      <c r="T149" s="180"/>
      <c r="U149" s="180"/>
    </row>
    <row r="150" spans="1:21" x14ac:dyDescent="0.25">
      <c r="A150" s="6">
        <f t="shared" si="9"/>
        <v>7</v>
      </c>
      <c r="B150" s="273" t="str">
        <f t="shared" si="8"/>
        <v xml:space="preserve">AC 8 S </v>
      </c>
      <c r="C150" s="180">
        <v>2</v>
      </c>
      <c r="D150" s="180"/>
      <c r="E150" s="180"/>
      <c r="F150" s="180"/>
      <c r="G150" s="180"/>
      <c r="H150" s="180"/>
      <c r="I150" s="180"/>
      <c r="J150" s="180"/>
      <c r="K150" s="180">
        <v>4</v>
      </c>
      <c r="L150" s="180"/>
      <c r="M150" s="180">
        <v>6</v>
      </c>
      <c r="N150" s="180"/>
      <c r="O150" s="180">
        <v>7</v>
      </c>
      <c r="P150" s="180"/>
      <c r="Q150" s="271" t="s">
        <v>8</v>
      </c>
      <c r="R150" s="180"/>
      <c r="S150" s="180"/>
      <c r="T150" s="180"/>
      <c r="U150" s="180"/>
    </row>
    <row r="151" spans="1:21" x14ac:dyDescent="0.25">
      <c r="A151" s="6">
        <f t="shared" si="9"/>
        <v>8</v>
      </c>
      <c r="B151" s="273" t="str">
        <f t="shared" si="8"/>
        <v xml:space="preserve">AC 8 H </v>
      </c>
      <c r="C151" s="180">
        <v>2</v>
      </c>
      <c r="D151" s="180"/>
      <c r="E151" s="180"/>
      <c r="F151" s="180"/>
      <c r="G151" s="180"/>
      <c r="H151" s="180"/>
      <c r="I151" s="180"/>
      <c r="J151" s="180"/>
      <c r="K151" s="180">
        <v>4</v>
      </c>
      <c r="L151" s="180"/>
      <c r="M151" s="180">
        <v>6</v>
      </c>
      <c r="N151" s="180"/>
      <c r="O151" s="180">
        <v>7</v>
      </c>
      <c r="P151" s="180"/>
      <c r="Q151" s="271" t="s">
        <v>8</v>
      </c>
      <c r="R151" s="180"/>
      <c r="S151" s="180"/>
      <c r="T151" s="180"/>
      <c r="U151" s="180"/>
    </row>
    <row r="152" spans="1:21" x14ac:dyDescent="0.25">
      <c r="A152" s="6">
        <f t="shared" si="9"/>
        <v>9</v>
      </c>
      <c r="B152" s="273" t="str">
        <f t="shared" si="8"/>
        <v xml:space="preserve">AC MR 8 </v>
      </c>
      <c r="C152" s="180">
        <v>2</v>
      </c>
      <c r="D152" s="180"/>
      <c r="E152" s="180"/>
      <c r="F152" s="180"/>
      <c r="G152" s="180"/>
      <c r="H152" s="180"/>
      <c r="I152" s="180"/>
      <c r="J152" s="180"/>
      <c r="K152" s="180">
        <v>4</v>
      </c>
      <c r="L152" s="180"/>
      <c r="M152" s="180">
        <v>6</v>
      </c>
      <c r="N152" s="180"/>
      <c r="O152" s="180">
        <v>7</v>
      </c>
      <c r="P152" s="180"/>
      <c r="Q152" s="271" t="s">
        <v>8</v>
      </c>
      <c r="R152" s="180"/>
      <c r="S152" s="180"/>
      <c r="T152" s="180"/>
      <c r="U152" s="180"/>
    </row>
    <row r="153" spans="1:21" x14ac:dyDescent="0.25">
      <c r="A153" s="6">
        <f t="shared" si="9"/>
        <v>10</v>
      </c>
      <c r="B153" s="273" t="str">
        <f t="shared" si="8"/>
        <v xml:space="preserve">AC MR 11 </v>
      </c>
      <c r="C153" s="180">
        <v>2</v>
      </c>
      <c r="D153" s="180"/>
      <c r="E153" s="180"/>
      <c r="F153" s="180"/>
      <c r="G153" s="180"/>
      <c r="H153" s="180"/>
      <c r="I153" s="180"/>
      <c r="J153" s="180"/>
      <c r="K153" s="180">
        <v>4</v>
      </c>
      <c r="L153" s="180"/>
      <c r="M153" s="180">
        <v>6</v>
      </c>
      <c r="N153" s="180"/>
      <c r="O153" s="180">
        <v>7</v>
      </c>
      <c r="P153" s="180"/>
      <c r="Q153" s="180"/>
      <c r="R153" s="271" t="s">
        <v>8</v>
      </c>
      <c r="S153" s="180"/>
      <c r="T153" s="180"/>
      <c r="U153" s="180"/>
    </row>
    <row r="154" spans="1:21" x14ac:dyDescent="0.25">
      <c r="A154" s="6">
        <f t="shared" si="9"/>
        <v>11</v>
      </c>
      <c r="B154" s="273" t="str">
        <f t="shared" si="8"/>
        <v>AC 11 N</v>
      </c>
      <c r="C154" s="180">
        <v>2</v>
      </c>
      <c r="D154" s="180"/>
      <c r="E154" s="180"/>
      <c r="F154" s="180"/>
      <c r="G154" s="180"/>
      <c r="H154" s="180"/>
      <c r="I154" s="180"/>
      <c r="J154" s="180"/>
      <c r="K154" s="180">
        <v>4</v>
      </c>
      <c r="L154" s="180"/>
      <c r="M154" s="180">
        <v>6</v>
      </c>
      <c r="N154" s="180"/>
      <c r="O154" s="180">
        <v>7</v>
      </c>
      <c r="P154" s="180"/>
      <c r="Q154" s="180"/>
      <c r="R154" s="271" t="s">
        <v>8</v>
      </c>
      <c r="S154" s="180"/>
      <c r="T154" s="180"/>
      <c r="U154" s="180"/>
    </row>
    <row r="155" spans="1:21" x14ac:dyDescent="0.25">
      <c r="A155" s="6">
        <f t="shared" si="9"/>
        <v>12</v>
      </c>
      <c r="B155" s="273" t="str">
        <f t="shared" si="8"/>
        <v>AC 11 S</v>
      </c>
      <c r="C155" s="180">
        <v>2</v>
      </c>
      <c r="D155" s="180"/>
      <c r="E155" s="180"/>
      <c r="F155" s="180"/>
      <c r="G155" s="180"/>
      <c r="H155" s="180"/>
      <c r="I155" s="180"/>
      <c r="J155" s="180"/>
      <c r="K155" s="180">
        <v>4</v>
      </c>
      <c r="L155" s="180"/>
      <c r="M155" s="180">
        <v>6</v>
      </c>
      <c r="N155" s="180"/>
      <c r="O155" s="180">
        <v>7</v>
      </c>
      <c r="P155" s="180"/>
      <c r="Q155" s="180"/>
      <c r="R155" s="271" t="s">
        <v>8</v>
      </c>
      <c r="S155" s="180"/>
      <c r="T155" s="180"/>
      <c r="U155" s="180"/>
    </row>
    <row r="156" spans="1:21" x14ac:dyDescent="0.25">
      <c r="A156" s="6">
        <f t="shared" si="9"/>
        <v>13</v>
      </c>
      <c r="B156" s="273" t="str">
        <f t="shared" si="8"/>
        <v xml:space="preserve">AC 11 H </v>
      </c>
      <c r="C156" s="180">
        <v>2</v>
      </c>
      <c r="D156" s="180"/>
      <c r="E156" s="180"/>
      <c r="F156" s="180"/>
      <c r="G156" s="180"/>
      <c r="H156" s="180"/>
      <c r="I156" s="180"/>
      <c r="J156" s="180"/>
      <c r="K156" s="180">
        <v>4</v>
      </c>
      <c r="L156" s="180"/>
      <c r="M156" s="180">
        <v>6</v>
      </c>
      <c r="N156" s="180"/>
      <c r="O156" s="180">
        <v>7</v>
      </c>
      <c r="P156" s="180"/>
      <c r="Q156" s="180"/>
      <c r="R156" s="271" t="s">
        <v>8</v>
      </c>
      <c r="S156" s="180"/>
      <c r="T156" s="180"/>
      <c r="U156" s="180"/>
    </row>
    <row r="157" spans="1:21" x14ac:dyDescent="0.25">
      <c r="A157" s="6">
        <f t="shared" si="9"/>
        <v>14</v>
      </c>
      <c r="B157" s="273" t="str">
        <f t="shared" si="8"/>
        <v>AC B 11 S</v>
      </c>
      <c r="C157" s="180">
        <v>2</v>
      </c>
      <c r="D157" s="180"/>
      <c r="E157" s="180"/>
      <c r="F157" s="180"/>
      <c r="G157" s="180"/>
      <c r="H157" s="180"/>
      <c r="I157" s="180"/>
      <c r="J157" s="180"/>
      <c r="K157" s="180">
        <v>4</v>
      </c>
      <c r="L157" s="180"/>
      <c r="M157" s="180">
        <v>6</v>
      </c>
      <c r="N157" s="180"/>
      <c r="O157" s="180">
        <v>7</v>
      </c>
      <c r="P157" s="180"/>
      <c r="Q157" s="180"/>
      <c r="R157" s="271" t="s">
        <v>8</v>
      </c>
      <c r="S157" s="180"/>
      <c r="T157" s="180"/>
      <c r="U157" s="180"/>
    </row>
    <row r="158" spans="1:21" x14ac:dyDescent="0.25">
      <c r="A158" s="6">
        <f t="shared" si="9"/>
        <v>15</v>
      </c>
      <c r="B158" s="273" t="str">
        <f t="shared" ref="B158:B189" si="10">B93</f>
        <v xml:space="preserve">AC B 16 S </v>
      </c>
      <c r="C158" s="180">
        <v>3</v>
      </c>
      <c r="D158" s="180"/>
      <c r="E158" s="180"/>
      <c r="F158" s="180"/>
      <c r="G158" s="180"/>
      <c r="H158" s="180"/>
      <c r="I158" s="180"/>
      <c r="J158" s="180"/>
      <c r="K158" s="180">
        <v>5</v>
      </c>
      <c r="L158" s="180"/>
      <c r="M158" s="180">
        <v>7</v>
      </c>
      <c r="N158" s="180"/>
      <c r="O158" s="180"/>
      <c r="P158" s="180"/>
      <c r="Q158" s="180">
        <v>9</v>
      </c>
      <c r="R158" s="180"/>
      <c r="S158" s="180" t="s">
        <v>9</v>
      </c>
      <c r="T158" s="180"/>
      <c r="U158" s="180"/>
    </row>
    <row r="159" spans="1:21" x14ac:dyDescent="0.25">
      <c r="A159" s="6">
        <f t="shared" si="9"/>
        <v>16</v>
      </c>
      <c r="B159" s="273" t="str">
        <f t="shared" si="10"/>
        <v xml:space="preserve">AC B 16 H </v>
      </c>
      <c r="C159" s="180">
        <v>3</v>
      </c>
      <c r="D159" s="180"/>
      <c r="E159" s="180"/>
      <c r="F159" s="180"/>
      <c r="G159" s="180"/>
      <c r="H159" s="180"/>
      <c r="I159" s="180"/>
      <c r="J159" s="180"/>
      <c r="K159" s="180">
        <v>5</v>
      </c>
      <c r="L159" s="180"/>
      <c r="M159" s="180">
        <v>7</v>
      </c>
      <c r="N159" s="180"/>
      <c r="O159" s="180"/>
      <c r="P159" s="180"/>
      <c r="Q159" s="180">
        <v>9</v>
      </c>
      <c r="R159" s="180"/>
      <c r="S159" s="180" t="s">
        <v>9</v>
      </c>
      <c r="T159" s="180"/>
      <c r="U159" s="180"/>
    </row>
    <row r="160" spans="1:21" x14ac:dyDescent="0.25">
      <c r="A160" s="6">
        <f t="shared" si="9"/>
        <v>17</v>
      </c>
      <c r="B160" s="273" t="str">
        <f t="shared" si="10"/>
        <v xml:space="preserve">AC B 22 S </v>
      </c>
      <c r="C160" s="180">
        <v>3</v>
      </c>
      <c r="D160" s="180"/>
      <c r="E160" s="180"/>
      <c r="F160" s="180"/>
      <c r="G160" s="180"/>
      <c r="H160" s="180"/>
      <c r="I160" s="180"/>
      <c r="J160" s="180"/>
      <c r="K160" s="180">
        <v>5</v>
      </c>
      <c r="L160" s="180"/>
      <c r="M160" s="180">
        <v>7</v>
      </c>
      <c r="N160" s="180"/>
      <c r="O160" s="180"/>
      <c r="P160" s="180"/>
      <c r="Q160" s="180"/>
      <c r="R160" s="180">
        <v>9</v>
      </c>
      <c r="S160" s="180"/>
      <c r="T160" s="180" t="s">
        <v>9</v>
      </c>
      <c r="U160" s="180"/>
    </row>
    <row r="161" spans="1:26" x14ac:dyDescent="0.25">
      <c r="A161" s="6">
        <f t="shared" si="9"/>
        <v>18</v>
      </c>
      <c r="B161" s="273" t="str">
        <f t="shared" si="10"/>
        <v xml:space="preserve">AC B 22 H </v>
      </c>
      <c r="C161" s="180">
        <v>3</v>
      </c>
      <c r="D161" s="180"/>
      <c r="E161" s="180"/>
      <c r="F161" s="180"/>
      <c r="G161" s="180"/>
      <c r="H161" s="180"/>
      <c r="I161" s="180"/>
      <c r="J161" s="180"/>
      <c r="K161" s="180">
        <v>5</v>
      </c>
      <c r="L161" s="180"/>
      <c r="M161" s="180">
        <v>7</v>
      </c>
      <c r="N161" s="180"/>
      <c r="O161" s="180"/>
      <c r="P161" s="180"/>
      <c r="Q161" s="180"/>
      <c r="R161" s="180">
        <v>9</v>
      </c>
      <c r="S161" s="180"/>
      <c r="T161" s="180" t="s">
        <v>9</v>
      </c>
      <c r="U161" s="180"/>
    </row>
    <row r="162" spans="1:26" x14ac:dyDescent="0.25">
      <c r="A162" s="6">
        <f t="shared" si="9"/>
        <v>19</v>
      </c>
      <c r="B162" s="273" t="str">
        <f t="shared" si="10"/>
        <v>AC T 11 L</v>
      </c>
      <c r="C162" s="180">
        <v>2</v>
      </c>
      <c r="D162" s="180"/>
      <c r="E162" s="180"/>
      <c r="F162" s="180"/>
      <c r="G162" s="180"/>
      <c r="H162" s="180"/>
      <c r="I162" s="180"/>
      <c r="J162" s="180"/>
      <c r="K162" s="180">
        <v>4</v>
      </c>
      <c r="L162" s="180"/>
      <c r="M162" s="180">
        <v>6</v>
      </c>
      <c r="N162" s="180"/>
      <c r="O162" s="180">
        <v>7</v>
      </c>
      <c r="P162" s="180"/>
      <c r="Q162" s="180"/>
      <c r="R162" s="271" t="s">
        <v>8</v>
      </c>
      <c r="S162" s="180"/>
      <c r="T162" s="180"/>
      <c r="U162" s="180"/>
    </row>
    <row r="163" spans="1:26" x14ac:dyDescent="0.25">
      <c r="A163" s="6">
        <f t="shared" si="9"/>
        <v>20</v>
      </c>
      <c r="B163" s="273" t="str">
        <f t="shared" si="10"/>
        <v>AC T 11 N</v>
      </c>
      <c r="C163" s="180">
        <v>2</v>
      </c>
      <c r="D163" s="180"/>
      <c r="E163" s="180"/>
      <c r="F163" s="180"/>
      <c r="G163" s="180"/>
      <c r="H163" s="180"/>
      <c r="I163" s="180"/>
      <c r="J163" s="180"/>
      <c r="K163" s="180">
        <v>4</v>
      </c>
      <c r="L163" s="180"/>
      <c r="M163" s="180">
        <v>6</v>
      </c>
      <c r="N163" s="180"/>
      <c r="O163" s="180">
        <v>7</v>
      </c>
      <c r="P163" s="180"/>
      <c r="Q163" s="180"/>
      <c r="R163" s="271" t="s">
        <v>8</v>
      </c>
      <c r="S163" s="180"/>
      <c r="T163" s="180"/>
      <c r="U163" s="180"/>
    </row>
    <row r="164" spans="1:26" x14ac:dyDescent="0.25">
      <c r="A164" s="6">
        <f t="shared" si="9"/>
        <v>21</v>
      </c>
      <c r="B164" s="273" t="str">
        <f t="shared" si="10"/>
        <v>AC T 16 L</v>
      </c>
      <c r="C164" s="180">
        <v>3</v>
      </c>
      <c r="D164" s="180"/>
      <c r="E164" s="180"/>
      <c r="F164" s="180"/>
      <c r="G164" s="180"/>
      <c r="H164" s="180"/>
      <c r="I164" s="180"/>
      <c r="J164" s="180"/>
      <c r="K164" s="180">
        <v>5</v>
      </c>
      <c r="L164" s="180"/>
      <c r="M164" s="180">
        <v>7</v>
      </c>
      <c r="N164" s="180"/>
      <c r="O164" s="180"/>
      <c r="P164" s="180"/>
      <c r="Q164" s="180">
        <v>9</v>
      </c>
      <c r="R164" s="180"/>
      <c r="S164" s="180" t="s">
        <v>9</v>
      </c>
      <c r="T164" s="180"/>
      <c r="U164" s="180"/>
    </row>
    <row r="165" spans="1:26" x14ac:dyDescent="0.25">
      <c r="A165" s="6">
        <f t="shared" si="9"/>
        <v>22</v>
      </c>
      <c r="B165" s="273" t="str">
        <f t="shared" si="10"/>
        <v xml:space="preserve">AC T 16 N </v>
      </c>
      <c r="C165" s="180">
        <v>3</v>
      </c>
      <c r="D165" s="180"/>
      <c r="E165" s="180"/>
      <c r="F165" s="180"/>
      <c r="G165" s="180"/>
      <c r="H165" s="180"/>
      <c r="I165" s="180"/>
      <c r="J165" s="180"/>
      <c r="K165" s="180">
        <v>5</v>
      </c>
      <c r="L165" s="180"/>
      <c r="M165" s="180">
        <v>7</v>
      </c>
      <c r="N165" s="180"/>
      <c r="O165" s="180"/>
      <c r="P165" s="180"/>
      <c r="Q165" s="180">
        <v>9</v>
      </c>
      <c r="R165" s="180"/>
      <c r="S165" s="180" t="s">
        <v>9</v>
      </c>
      <c r="T165" s="180"/>
      <c r="U165" s="180"/>
    </row>
    <row r="166" spans="1:26" x14ac:dyDescent="0.25">
      <c r="A166" s="6">
        <f t="shared" si="9"/>
        <v>23</v>
      </c>
      <c r="B166" s="273" t="str">
        <f t="shared" si="10"/>
        <v xml:space="preserve">AC T 16 S </v>
      </c>
      <c r="C166" s="180">
        <v>3</v>
      </c>
      <c r="D166" s="180"/>
      <c r="E166" s="180"/>
      <c r="F166" s="180"/>
      <c r="G166" s="180"/>
      <c r="H166" s="180"/>
      <c r="I166" s="180"/>
      <c r="J166" s="180"/>
      <c r="K166" s="180">
        <v>5</v>
      </c>
      <c r="L166" s="180"/>
      <c r="M166" s="180">
        <v>7</v>
      </c>
      <c r="N166" s="180"/>
      <c r="O166" s="180"/>
      <c r="P166" s="180"/>
      <c r="Q166" s="180">
        <v>9</v>
      </c>
      <c r="R166" s="180"/>
      <c r="S166" s="180" t="s">
        <v>9</v>
      </c>
      <c r="T166" s="180"/>
      <c r="U166" s="180"/>
    </row>
    <row r="167" spans="1:26" x14ac:dyDescent="0.25">
      <c r="A167" s="6">
        <f t="shared" si="9"/>
        <v>24</v>
      </c>
      <c r="B167" s="273" t="str">
        <f t="shared" si="10"/>
        <v>AC T 22 L</v>
      </c>
      <c r="C167" s="180">
        <v>3</v>
      </c>
      <c r="D167" s="180"/>
      <c r="E167" s="180"/>
      <c r="F167" s="180"/>
      <c r="G167" s="180"/>
      <c r="H167" s="180"/>
      <c r="I167" s="180"/>
      <c r="J167" s="180"/>
      <c r="K167" s="180">
        <v>5</v>
      </c>
      <c r="L167" s="180"/>
      <c r="M167" s="180">
        <v>7</v>
      </c>
      <c r="N167" s="180"/>
      <c r="O167" s="180"/>
      <c r="P167" s="180"/>
      <c r="Q167" s="180"/>
      <c r="R167" s="180">
        <v>9</v>
      </c>
      <c r="S167" s="180"/>
      <c r="T167" s="180" t="s">
        <v>9</v>
      </c>
      <c r="U167" s="180"/>
    </row>
    <row r="168" spans="1:26" x14ac:dyDescent="0.25">
      <c r="A168" s="6">
        <f t="shared" si="9"/>
        <v>25</v>
      </c>
      <c r="B168" s="273" t="str">
        <f t="shared" si="10"/>
        <v xml:space="preserve">AC T 22 N </v>
      </c>
      <c r="C168" s="180">
        <v>3</v>
      </c>
      <c r="D168" s="180"/>
      <c r="E168" s="180"/>
      <c r="F168" s="180"/>
      <c r="G168" s="180"/>
      <c r="H168" s="180"/>
      <c r="I168" s="180"/>
      <c r="J168" s="180"/>
      <c r="K168" s="180">
        <v>5</v>
      </c>
      <c r="L168" s="180"/>
      <c r="M168" s="180">
        <v>7</v>
      </c>
      <c r="N168" s="180"/>
      <c r="O168" s="180"/>
      <c r="P168" s="180"/>
      <c r="Q168" s="180"/>
      <c r="R168" s="180">
        <v>9</v>
      </c>
      <c r="S168" s="180"/>
      <c r="T168" s="180" t="s">
        <v>9</v>
      </c>
      <c r="U168" s="180"/>
    </row>
    <row r="169" spans="1:26" x14ac:dyDescent="0.25">
      <c r="A169" s="6">
        <f t="shared" si="9"/>
        <v>26</v>
      </c>
      <c r="B169" s="273" t="str">
        <f t="shared" si="10"/>
        <v xml:space="preserve">AC T 22 S </v>
      </c>
      <c r="C169" s="180">
        <v>3</v>
      </c>
      <c r="D169" s="180"/>
      <c r="E169" s="180"/>
      <c r="F169" s="180"/>
      <c r="G169" s="180"/>
      <c r="H169" s="180"/>
      <c r="I169" s="180"/>
      <c r="J169" s="180"/>
      <c r="K169" s="180">
        <v>5</v>
      </c>
      <c r="L169" s="180"/>
      <c r="M169" s="180">
        <v>7</v>
      </c>
      <c r="N169" s="180"/>
      <c r="O169" s="180"/>
      <c r="P169" s="180"/>
      <c r="Q169" s="180"/>
      <c r="R169" s="180">
        <v>9</v>
      </c>
      <c r="S169" s="180"/>
      <c r="T169" s="180" t="s">
        <v>9</v>
      </c>
      <c r="U169" s="180"/>
    </row>
    <row r="170" spans="1:26" x14ac:dyDescent="0.25">
      <c r="A170" s="6">
        <f t="shared" si="9"/>
        <v>27</v>
      </c>
      <c r="B170" s="273" t="str">
        <f t="shared" si="10"/>
        <v xml:space="preserve">AC T 22 H </v>
      </c>
      <c r="C170" s="180">
        <v>3</v>
      </c>
      <c r="D170" s="180"/>
      <c r="E170" s="180"/>
      <c r="F170" s="180"/>
      <c r="G170" s="180"/>
      <c r="H170" s="180"/>
      <c r="I170" s="180"/>
      <c r="J170" s="180"/>
      <c r="K170" s="180">
        <v>5</v>
      </c>
      <c r="L170" s="180"/>
      <c r="M170" s="180">
        <v>7</v>
      </c>
      <c r="N170" s="180"/>
      <c r="O170" s="180"/>
      <c r="P170" s="180"/>
      <c r="Q170" s="180"/>
      <c r="R170" s="180">
        <v>9</v>
      </c>
      <c r="S170" s="180"/>
      <c r="T170" s="180" t="s">
        <v>9</v>
      </c>
      <c r="U170" s="180"/>
    </row>
    <row r="171" spans="1:26" x14ac:dyDescent="0.25">
      <c r="A171" s="6">
        <f t="shared" si="9"/>
        <v>28</v>
      </c>
      <c r="B171" s="273" t="str">
        <f t="shared" si="10"/>
        <v>AC T 32 S</v>
      </c>
      <c r="C171" s="180">
        <v>3</v>
      </c>
      <c r="D171" s="180"/>
      <c r="E171" s="180"/>
      <c r="F171" s="180"/>
      <c r="G171" s="180"/>
      <c r="H171" s="180"/>
      <c r="I171" s="180"/>
      <c r="J171" s="180"/>
      <c r="K171" s="180">
        <v>5</v>
      </c>
      <c r="L171" s="180"/>
      <c r="M171" s="180">
        <v>7</v>
      </c>
      <c r="N171" s="180"/>
      <c r="O171" s="180"/>
      <c r="P171" s="180"/>
      <c r="Q171" s="180"/>
      <c r="R171" s="180"/>
      <c r="S171" s="180">
        <v>9</v>
      </c>
      <c r="T171" s="180"/>
      <c r="U171" s="180" t="s">
        <v>9</v>
      </c>
    </row>
    <row r="172" spans="1:26" x14ac:dyDescent="0.25">
      <c r="A172" s="6">
        <f t="shared" si="9"/>
        <v>29</v>
      </c>
      <c r="B172" s="273" t="str">
        <f t="shared" si="10"/>
        <v>AC T 32 H</v>
      </c>
      <c r="C172" s="180">
        <v>3</v>
      </c>
      <c r="D172" s="180"/>
      <c r="E172" s="180"/>
      <c r="F172" s="180"/>
      <c r="G172" s="180"/>
      <c r="H172" s="180"/>
      <c r="I172" s="180"/>
      <c r="J172" s="180"/>
      <c r="K172" s="180">
        <v>5</v>
      </c>
      <c r="L172" s="180"/>
      <c r="M172" s="180">
        <v>7</v>
      </c>
      <c r="N172" s="180"/>
      <c r="O172" s="180"/>
      <c r="P172" s="180"/>
      <c r="Q172" s="180"/>
      <c r="R172" s="180"/>
      <c r="S172" s="180">
        <v>9</v>
      </c>
      <c r="T172" s="180"/>
      <c r="U172" s="180" t="s">
        <v>9</v>
      </c>
    </row>
    <row r="173" spans="1:26" x14ac:dyDescent="0.25">
      <c r="A173" s="6">
        <f t="shared" si="9"/>
        <v>30</v>
      </c>
      <c r="B173" s="273" t="str">
        <f t="shared" si="10"/>
        <v>AC EME 22 C1</v>
      </c>
      <c r="C173" s="180">
        <v>3</v>
      </c>
      <c r="D173" s="180"/>
      <c r="E173" s="180"/>
      <c r="F173" s="180"/>
      <c r="G173" s="180"/>
      <c r="H173" s="180"/>
      <c r="I173" s="180"/>
      <c r="J173" s="180"/>
      <c r="K173" s="180">
        <v>5</v>
      </c>
      <c r="L173" s="180"/>
      <c r="M173" s="180">
        <v>7</v>
      </c>
      <c r="N173" s="180"/>
      <c r="O173" s="180"/>
      <c r="P173" s="180"/>
      <c r="Q173" s="180"/>
      <c r="R173" s="180">
        <v>9</v>
      </c>
      <c r="S173" s="180"/>
      <c r="T173" s="180" t="s">
        <v>9</v>
      </c>
      <c r="U173" s="180"/>
    </row>
    <row r="174" spans="1:26" x14ac:dyDescent="0.25">
      <c r="A174" s="6">
        <f t="shared" si="9"/>
        <v>31</v>
      </c>
      <c r="B174" s="273" t="str">
        <f t="shared" si="10"/>
        <v>AC EME 22 C2</v>
      </c>
      <c r="C174" s="180">
        <v>3</v>
      </c>
      <c r="D174" s="180"/>
      <c r="E174" s="180"/>
      <c r="F174" s="180"/>
      <c r="G174" s="180"/>
      <c r="H174" s="180"/>
      <c r="I174" s="180"/>
      <c r="J174" s="180"/>
      <c r="K174" s="180">
        <v>5</v>
      </c>
      <c r="L174" s="180"/>
      <c r="M174" s="180">
        <v>7</v>
      </c>
      <c r="N174" s="180"/>
      <c r="O174" s="180"/>
      <c r="P174" s="180"/>
      <c r="Q174" s="180"/>
      <c r="R174" s="180">
        <v>9</v>
      </c>
      <c r="S174" s="180"/>
      <c r="T174" s="180" t="s">
        <v>9</v>
      </c>
      <c r="U174" s="180"/>
      <c r="Z174" s="254" t="s">
        <v>185</v>
      </c>
    </row>
    <row r="175" spans="1:26" x14ac:dyDescent="0.25">
      <c r="A175" s="6">
        <f t="shared" si="9"/>
        <v>32</v>
      </c>
      <c r="B175" s="273" t="str">
        <f t="shared" si="10"/>
        <v>ACF 22</v>
      </c>
      <c r="C175" s="180">
        <v>3</v>
      </c>
      <c r="D175" s="180"/>
      <c r="E175" s="180"/>
      <c r="F175" s="180"/>
      <c r="G175" s="180"/>
      <c r="H175" s="180"/>
      <c r="I175" s="180"/>
      <c r="J175" s="180"/>
      <c r="K175" s="180">
        <v>5</v>
      </c>
      <c r="L175" s="180"/>
      <c r="M175" s="180">
        <v>7</v>
      </c>
      <c r="N175" s="180"/>
      <c r="O175" s="180"/>
      <c r="P175" s="180"/>
      <c r="Q175" s="180"/>
      <c r="R175" s="180">
        <v>9</v>
      </c>
      <c r="S175" s="180"/>
      <c r="T175" s="180" t="s">
        <v>9</v>
      </c>
      <c r="U175" s="180"/>
    </row>
    <row r="176" spans="1:26" x14ac:dyDescent="0.25">
      <c r="A176" s="6">
        <f t="shared" si="9"/>
        <v>33</v>
      </c>
      <c r="B176" s="273" t="str">
        <f t="shared" si="10"/>
        <v>ACF 32</v>
      </c>
      <c r="C176" s="180">
        <v>3</v>
      </c>
      <c r="D176" s="180"/>
      <c r="E176" s="180"/>
      <c r="F176" s="180"/>
      <c r="G176" s="180"/>
      <c r="H176" s="180"/>
      <c r="I176" s="180"/>
      <c r="J176" s="180"/>
      <c r="K176" s="180">
        <v>5</v>
      </c>
      <c r="L176" s="180"/>
      <c r="M176" s="180">
        <v>7</v>
      </c>
      <c r="N176" s="180"/>
      <c r="O176" s="180"/>
      <c r="P176" s="180"/>
      <c r="Q176" s="180"/>
      <c r="R176" s="180"/>
      <c r="S176" s="180">
        <v>9</v>
      </c>
      <c r="T176" s="180"/>
      <c r="U176" s="180" t="s">
        <v>9</v>
      </c>
    </row>
    <row r="177" spans="1:21" x14ac:dyDescent="0.25">
      <c r="A177" s="6">
        <f t="shared" si="9"/>
        <v>34</v>
      </c>
      <c r="B177" s="273" t="str">
        <f t="shared" si="10"/>
        <v>AC RAIL 16</v>
      </c>
      <c r="C177" s="180">
        <v>3</v>
      </c>
      <c r="D177" s="180"/>
      <c r="E177" s="180"/>
      <c r="F177" s="180"/>
      <c r="G177" s="180"/>
      <c r="H177" s="180"/>
      <c r="I177" s="180"/>
      <c r="J177" s="180"/>
      <c r="K177" s="180">
        <v>5</v>
      </c>
      <c r="L177" s="180"/>
      <c r="M177" s="180">
        <v>7</v>
      </c>
      <c r="N177" s="180"/>
      <c r="O177" s="180"/>
      <c r="P177" s="180"/>
      <c r="Q177" s="180">
        <v>9</v>
      </c>
      <c r="R177" s="180"/>
      <c r="S177" s="180" t="s">
        <v>9</v>
      </c>
      <c r="T177" s="180"/>
      <c r="U177" s="180"/>
    </row>
    <row r="178" spans="1:21" x14ac:dyDescent="0.25">
      <c r="A178" s="6">
        <f t="shared" si="9"/>
        <v>35</v>
      </c>
      <c r="B178" s="273" t="str">
        <f t="shared" si="10"/>
        <v>AC RAIL 22</v>
      </c>
      <c r="C178" s="180">
        <v>3</v>
      </c>
      <c r="D178" s="180"/>
      <c r="E178" s="180"/>
      <c r="F178" s="180"/>
      <c r="G178" s="180"/>
      <c r="H178" s="180"/>
      <c r="I178" s="180"/>
      <c r="J178" s="180"/>
      <c r="K178" s="180">
        <v>5</v>
      </c>
      <c r="L178" s="180"/>
      <c r="M178" s="180">
        <v>7</v>
      </c>
      <c r="N178" s="180"/>
      <c r="O178" s="180"/>
      <c r="P178" s="180"/>
      <c r="Q178" s="180"/>
      <c r="R178" s="180">
        <v>9</v>
      </c>
      <c r="S178" s="180"/>
      <c r="T178" s="180" t="s">
        <v>9</v>
      </c>
      <c r="U178" s="180"/>
    </row>
    <row r="179" spans="1:21" x14ac:dyDescent="0.25">
      <c r="A179" s="6">
        <f t="shared" si="9"/>
        <v>36</v>
      </c>
      <c r="B179" s="273" t="str">
        <f t="shared" si="10"/>
        <v xml:space="preserve">SMA 8 </v>
      </c>
      <c r="C179" s="180">
        <v>2</v>
      </c>
      <c r="D179" s="180"/>
      <c r="E179" s="180"/>
      <c r="F179" s="180"/>
      <c r="G179" s="180"/>
      <c r="H179" s="180"/>
      <c r="I179" s="180"/>
      <c r="J179" s="180"/>
      <c r="K179" s="180">
        <v>4</v>
      </c>
      <c r="L179" s="180"/>
      <c r="M179" s="180">
        <v>6</v>
      </c>
      <c r="N179" s="180"/>
      <c r="O179" s="180">
        <v>7</v>
      </c>
      <c r="P179" s="180"/>
      <c r="Q179" s="271" t="s">
        <v>8</v>
      </c>
      <c r="R179" s="180"/>
      <c r="S179" s="180"/>
      <c r="T179" s="180"/>
      <c r="U179" s="180"/>
    </row>
    <row r="180" spans="1:21" x14ac:dyDescent="0.25">
      <c r="A180" s="6">
        <f t="shared" si="9"/>
        <v>37</v>
      </c>
      <c r="B180" s="273" t="str">
        <f t="shared" si="10"/>
        <v xml:space="preserve">SMA 11 </v>
      </c>
      <c r="C180" s="180">
        <v>2</v>
      </c>
      <c r="D180" s="180"/>
      <c r="E180" s="180"/>
      <c r="F180" s="180"/>
      <c r="G180" s="180"/>
      <c r="H180" s="180"/>
      <c r="I180" s="180"/>
      <c r="J180" s="180"/>
      <c r="K180" s="180">
        <v>4</v>
      </c>
      <c r="L180" s="180"/>
      <c r="M180" s="180">
        <v>6</v>
      </c>
      <c r="N180" s="180"/>
      <c r="O180" s="180">
        <v>7</v>
      </c>
      <c r="P180" s="180"/>
      <c r="Q180" s="180"/>
      <c r="R180" s="271" t="s">
        <v>8</v>
      </c>
      <c r="S180" s="180"/>
      <c r="T180" s="180"/>
      <c r="U180" s="180"/>
    </row>
    <row r="181" spans="1:21" x14ac:dyDescent="0.25">
      <c r="A181" s="6">
        <f t="shared" si="9"/>
        <v>38</v>
      </c>
      <c r="B181" s="273" t="str">
        <f t="shared" si="10"/>
        <v>PA 8</v>
      </c>
      <c r="C181" s="180">
        <v>2</v>
      </c>
      <c r="D181" s="180"/>
      <c r="E181" s="180"/>
      <c r="F181" s="180"/>
      <c r="G181" s="180"/>
      <c r="H181" s="180"/>
      <c r="I181" s="180"/>
      <c r="J181" s="180"/>
      <c r="K181" s="180">
        <v>4</v>
      </c>
      <c r="L181" s="180"/>
      <c r="M181" s="180">
        <v>6</v>
      </c>
      <c r="N181" s="180"/>
      <c r="O181" s="180">
        <v>7</v>
      </c>
      <c r="P181" s="180"/>
      <c r="Q181" s="271" t="s">
        <v>8</v>
      </c>
      <c r="R181" s="180"/>
      <c r="S181" s="180"/>
      <c r="T181" s="180"/>
      <c r="U181" s="180"/>
    </row>
    <row r="182" spans="1:21" x14ac:dyDescent="0.25">
      <c r="A182" s="6">
        <f t="shared" si="9"/>
        <v>39</v>
      </c>
      <c r="B182" s="273" t="str">
        <f t="shared" si="10"/>
        <v>PA 11</v>
      </c>
      <c r="C182" s="180">
        <v>2</v>
      </c>
      <c r="D182" s="180"/>
      <c r="E182" s="180"/>
      <c r="F182" s="180"/>
      <c r="G182" s="180"/>
      <c r="H182" s="180"/>
      <c r="I182" s="180"/>
      <c r="J182" s="180"/>
      <c r="K182" s="180">
        <v>4</v>
      </c>
      <c r="L182" s="180"/>
      <c r="M182" s="180">
        <v>6</v>
      </c>
      <c r="N182" s="180"/>
      <c r="O182" s="180">
        <v>7</v>
      </c>
      <c r="P182" s="180"/>
      <c r="Q182" s="180"/>
      <c r="R182" s="271" t="s">
        <v>8</v>
      </c>
      <c r="S182" s="180"/>
      <c r="T182" s="180"/>
      <c r="U182" s="180"/>
    </row>
    <row r="183" spans="1:21" x14ac:dyDescent="0.25">
      <c r="A183" s="6">
        <f t="shared" si="9"/>
        <v>40</v>
      </c>
      <c r="B183" s="273" t="str">
        <f t="shared" si="10"/>
        <v>PA B 16</v>
      </c>
      <c r="C183" s="180">
        <v>3</v>
      </c>
      <c r="D183" s="180"/>
      <c r="E183" s="180"/>
      <c r="F183" s="180"/>
      <c r="G183" s="180"/>
      <c r="H183" s="180"/>
      <c r="I183" s="180"/>
      <c r="J183" s="180"/>
      <c r="K183" s="180">
        <v>5</v>
      </c>
      <c r="L183" s="180"/>
      <c r="M183" s="180">
        <v>7</v>
      </c>
      <c r="N183" s="180"/>
      <c r="O183" s="180"/>
      <c r="P183" s="180"/>
      <c r="Q183" s="180">
        <v>9</v>
      </c>
      <c r="R183" s="180"/>
      <c r="S183" s="180" t="s">
        <v>9</v>
      </c>
      <c r="T183" s="180"/>
      <c r="U183" s="180"/>
    </row>
    <row r="184" spans="1:21" x14ac:dyDescent="0.25">
      <c r="A184" s="6">
        <f t="shared" si="9"/>
        <v>41</v>
      </c>
      <c r="B184" s="273" t="str">
        <f t="shared" si="10"/>
        <v>PA B 22</v>
      </c>
      <c r="C184" s="180">
        <v>3</v>
      </c>
      <c r="D184" s="180"/>
      <c r="E184" s="180"/>
      <c r="F184" s="180"/>
      <c r="G184" s="180"/>
      <c r="H184" s="180"/>
      <c r="I184" s="180"/>
      <c r="J184" s="180"/>
      <c r="K184" s="180">
        <v>5</v>
      </c>
      <c r="L184" s="180"/>
      <c r="M184" s="180">
        <v>7</v>
      </c>
      <c r="N184" s="180"/>
      <c r="O184" s="180"/>
      <c r="P184" s="180"/>
      <c r="Q184" s="180"/>
      <c r="R184" s="180">
        <v>9</v>
      </c>
      <c r="S184" s="180"/>
      <c r="T184" s="180" t="s">
        <v>9</v>
      </c>
      <c r="U184" s="180"/>
    </row>
    <row r="185" spans="1:21" x14ac:dyDescent="0.25">
      <c r="A185" s="6">
        <f t="shared" si="9"/>
        <v>42</v>
      </c>
      <c r="B185" s="273" t="str">
        <f t="shared" si="10"/>
        <v>PA S 16</v>
      </c>
      <c r="C185" s="180">
        <v>3</v>
      </c>
      <c r="D185" s="180"/>
      <c r="E185" s="180"/>
      <c r="F185" s="180"/>
      <c r="G185" s="180"/>
      <c r="H185" s="180"/>
      <c r="I185" s="180"/>
      <c r="J185" s="180"/>
      <c r="K185" s="180">
        <v>5</v>
      </c>
      <c r="L185" s="180"/>
      <c r="M185" s="180">
        <v>7</v>
      </c>
      <c r="N185" s="180"/>
      <c r="O185" s="180"/>
      <c r="P185" s="180"/>
      <c r="Q185" s="180">
        <v>9</v>
      </c>
      <c r="R185" s="180"/>
      <c r="S185" s="180" t="s">
        <v>9</v>
      </c>
      <c r="T185" s="180"/>
      <c r="U185" s="180"/>
    </row>
    <row r="186" spans="1:21" x14ac:dyDescent="0.25">
      <c r="A186" s="6">
        <f t="shared" si="9"/>
        <v>43</v>
      </c>
      <c r="B186" s="273" t="str">
        <f t="shared" si="10"/>
        <v>PA S 22</v>
      </c>
      <c r="C186" s="180">
        <v>3</v>
      </c>
      <c r="D186" s="180"/>
      <c r="E186" s="180"/>
      <c r="F186" s="180"/>
      <c r="G186" s="180"/>
      <c r="H186" s="180"/>
      <c r="I186" s="180"/>
      <c r="J186" s="180"/>
      <c r="K186" s="180">
        <v>5</v>
      </c>
      <c r="L186" s="180"/>
      <c r="M186" s="180">
        <v>7</v>
      </c>
      <c r="N186" s="180"/>
      <c r="O186" s="180"/>
      <c r="P186" s="180"/>
      <c r="Q186" s="180"/>
      <c r="R186" s="180">
        <v>9</v>
      </c>
      <c r="S186" s="180"/>
      <c r="T186" s="180" t="s">
        <v>9</v>
      </c>
      <c r="U186" s="180"/>
    </row>
    <row r="187" spans="1:21" x14ac:dyDescent="0.25">
      <c r="A187" s="6">
        <f t="shared" si="9"/>
        <v>44</v>
      </c>
      <c r="B187" s="273" t="str">
        <f>B122</f>
        <v>PA S 32</v>
      </c>
      <c r="C187" s="180">
        <v>3</v>
      </c>
      <c r="D187" s="180"/>
      <c r="E187" s="180"/>
      <c r="F187" s="180"/>
      <c r="G187" s="180"/>
      <c r="H187" s="180"/>
      <c r="I187" s="180"/>
      <c r="J187" s="180"/>
      <c r="K187" s="180">
        <v>5</v>
      </c>
      <c r="L187" s="180"/>
      <c r="M187" s="180">
        <v>7</v>
      </c>
      <c r="N187" s="180"/>
      <c r="O187" s="180"/>
      <c r="P187" s="180"/>
      <c r="Q187" s="271"/>
      <c r="R187" s="180"/>
      <c r="S187" s="180">
        <v>9</v>
      </c>
      <c r="T187" s="180"/>
      <c r="U187" s="180" t="s">
        <v>9</v>
      </c>
    </row>
    <row r="188" spans="1:21" x14ac:dyDescent="0.25">
      <c r="A188" s="6">
        <f t="shared" si="9"/>
        <v>45</v>
      </c>
      <c r="B188" s="273" t="str">
        <f t="shared" si="10"/>
        <v>SDA 4 - 12</v>
      </c>
      <c r="C188" s="180">
        <v>2</v>
      </c>
      <c r="D188" s="180"/>
      <c r="E188" s="180"/>
      <c r="F188" s="180"/>
      <c r="G188" s="180"/>
      <c r="H188" s="180"/>
      <c r="I188" s="180"/>
      <c r="J188" s="180"/>
      <c r="K188" s="180">
        <v>4</v>
      </c>
      <c r="L188" s="180"/>
      <c r="M188" s="180">
        <v>6</v>
      </c>
      <c r="N188" s="180"/>
      <c r="O188" s="271" t="s">
        <v>8</v>
      </c>
      <c r="P188" s="180"/>
      <c r="Q188" s="180"/>
      <c r="R188" s="180"/>
      <c r="S188" s="180"/>
      <c r="T188" s="180"/>
      <c r="U188" s="180"/>
    </row>
    <row r="189" spans="1:21" x14ac:dyDescent="0.25">
      <c r="A189" s="6">
        <f t="shared" si="9"/>
        <v>46</v>
      </c>
      <c r="B189" s="273" t="str">
        <f t="shared" si="10"/>
        <v>SDA 4 - 16</v>
      </c>
      <c r="C189" s="180">
        <v>2</v>
      </c>
      <c r="D189" s="180"/>
      <c r="E189" s="180"/>
      <c r="F189" s="180"/>
      <c r="G189" s="180"/>
      <c r="H189" s="180"/>
      <c r="I189" s="180"/>
      <c r="J189" s="180"/>
      <c r="K189" s="180">
        <v>4</v>
      </c>
      <c r="L189" s="180"/>
      <c r="M189" s="180">
        <v>6</v>
      </c>
      <c r="N189" s="180"/>
      <c r="O189" s="271" t="s">
        <v>8</v>
      </c>
      <c r="P189" s="180"/>
      <c r="Q189" s="180"/>
      <c r="R189" s="180"/>
      <c r="S189" s="180"/>
      <c r="T189" s="180"/>
      <c r="U189" s="180"/>
    </row>
    <row r="190" spans="1:21" x14ac:dyDescent="0.25">
      <c r="A190" s="6">
        <f t="shared" si="9"/>
        <v>47</v>
      </c>
      <c r="B190" s="273" t="str">
        <f t="shared" ref="B190:B206" si="11">B125</f>
        <v>SDA 4 - 20</v>
      </c>
      <c r="C190" s="180">
        <v>2</v>
      </c>
      <c r="D190" s="180"/>
      <c r="E190" s="180"/>
      <c r="F190" s="180"/>
      <c r="G190" s="180"/>
      <c r="H190" s="180"/>
      <c r="I190" s="180"/>
      <c r="J190" s="180"/>
      <c r="K190" s="180">
        <v>4</v>
      </c>
      <c r="L190" s="180"/>
      <c r="M190" s="180">
        <v>6</v>
      </c>
      <c r="N190" s="180"/>
      <c r="O190" s="271" t="s">
        <v>8</v>
      </c>
      <c r="P190" s="180"/>
      <c r="Q190" s="180"/>
      <c r="R190" s="271"/>
      <c r="S190" s="180"/>
      <c r="T190" s="180"/>
      <c r="U190" s="180"/>
    </row>
    <row r="191" spans="1:21" x14ac:dyDescent="0.25">
      <c r="A191" s="6">
        <f t="shared" si="9"/>
        <v>48</v>
      </c>
      <c r="B191" s="273" t="str">
        <f>B126</f>
        <v>SDA 8 - 12</v>
      </c>
      <c r="C191" s="180">
        <v>2</v>
      </c>
      <c r="D191" s="180"/>
      <c r="E191" s="180"/>
      <c r="F191" s="180"/>
      <c r="G191" s="180"/>
      <c r="H191" s="180"/>
      <c r="I191" s="180"/>
      <c r="J191" s="180"/>
      <c r="K191" s="180">
        <v>4</v>
      </c>
      <c r="L191" s="180"/>
      <c r="M191" s="180">
        <v>6</v>
      </c>
      <c r="N191" s="180"/>
      <c r="O191" s="180">
        <v>7</v>
      </c>
      <c r="P191" s="180"/>
      <c r="Q191" s="271" t="s">
        <v>8</v>
      </c>
      <c r="R191" s="180"/>
      <c r="S191" s="180"/>
      <c r="T191" s="180"/>
      <c r="U191" s="180"/>
    </row>
    <row r="192" spans="1:21" x14ac:dyDescent="0.25">
      <c r="A192" s="6">
        <f t="shared" si="9"/>
        <v>49</v>
      </c>
      <c r="B192" s="273" t="str">
        <f>B127</f>
        <v>SDA 8 - 16</v>
      </c>
      <c r="C192" s="180">
        <v>2</v>
      </c>
      <c r="D192" s="180"/>
      <c r="E192" s="180"/>
      <c r="F192" s="180"/>
      <c r="G192" s="180"/>
      <c r="H192" s="180"/>
      <c r="I192" s="180"/>
      <c r="J192" s="180"/>
      <c r="K192" s="180">
        <v>4</v>
      </c>
      <c r="L192" s="180"/>
      <c r="M192" s="180">
        <v>6</v>
      </c>
      <c r="N192" s="180"/>
      <c r="O192" s="180">
        <v>7</v>
      </c>
      <c r="P192" s="180"/>
      <c r="Q192" s="271" t="s">
        <v>8</v>
      </c>
      <c r="R192" s="180"/>
      <c r="S192" s="180"/>
      <c r="T192" s="180"/>
      <c r="U192" s="180"/>
    </row>
    <row r="193" spans="1:57" x14ac:dyDescent="0.25">
      <c r="A193" s="6">
        <f t="shared" si="9"/>
        <v>50</v>
      </c>
      <c r="B193" s="27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180"/>
      <c r="S193" s="180"/>
      <c r="T193" s="180"/>
      <c r="U193" s="180"/>
    </row>
    <row r="194" spans="1:57" x14ac:dyDescent="0.25">
      <c r="A194" s="6">
        <f t="shared" si="9"/>
        <v>51</v>
      </c>
      <c r="B194" s="273">
        <f t="shared" si="11"/>
        <v>0</v>
      </c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271"/>
      <c r="R194" s="180"/>
      <c r="S194" s="180"/>
      <c r="T194" s="180"/>
      <c r="U194" s="180"/>
    </row>
    <row r="195" spans="1:57" x14ac:dyDescent="0.25">
      <c r="A195" s="6">
        <f t="shared" si="9"/>
        <v>52</v>
      </c>
      <c r="B195" s="273">
        <f t="shared" si="11"/>
        <v>0</v>
      </c>
      <c r="Q195" s="166"/>
    </row>
    <row r="196" spans="1:57" x14ac:dyDescent="0.25">
      <c r="A196" s="6">
        <f t="shared" si="9"/>
        <v>53</v>
      </c>
      <c r="B196" s="273">
        <f t="shared" si="11"/>
        <v>0</v>
      </c>
    </row>
    <row r="197" spans="1:57" x14ac:dyDescent="0.25">
      <c r="A197" s="6">
        <f t="shared" si="9"/>
        <v>54</v>
      </c>
      <c r="B197" s="273">
        <f t="shared" si="11"/>
        <v>0</v>
      </c>
    </row>
    <row r="198" spans="1:57" x14ac:dyDescent="0.25">
      <c r="A198" s="6">
        <f t="shared" si="9"/>
        <v>55</v>
      </c>
      <c r="B198" s="273">
        <f t="shared" si="11"/>
        <v>0</v>
      </c>
      <c r="R198" s="166"/>
    </row>
    <row r="199" spans="1:57" x14ac:dyDescent="0.25">
      <c r="A199" s="6">
        <f t="shared" si="9"/>
        <v>56</v>
      </c>
      <c r="B199" s="273">
        <f t="shared" si="11"/>
        <v>0</v>
      </c>
      <c r="R199" s="166"/>
    </row>
    <row r="200" spans="1:57" x14ac:dyDescent="0.25">
      <c r="A200" s="6">
        <f t="shared" si="9"/>
        <v>57</v>
      </c>
      <c r="B200" s="273">
        <f t="shared" si="11"/>
        <v>0</v>
      </c>
      <c r="R200" s="166"/>
    </row>
    <row r="201" spans="1:57" x14ac:dyDescent="0.25">
      <c r="A201" s="6">
        <f t="shared" si="9"/>
        <v>58</v>
      </c>
      <c r="B201" s="273">
        <f t="shared" si="11"/>
        <v>0</v>
      </c>
      <c r="R201" s="166"/>
    </row>
    <row r="202" spans="1:57" x14ac:dyDescent="0.25">
      <c r="A202" s="6">
        <f t="shared" si="9"/>
        <v>59</v>
      </c>
      <c r="B202" s="273">
        <f t="shared" si="11"/>
        <v>0</v>
      </c>
      <c r="S202" s="166"/>
    </row>
    <row r="203" spans="1:57" x14ac:dyDescent="0.25">
      <c r="A203" s="6">
        <f t="shared" si="9"/>
        <v>60</v>
      </c>
      <c r="B203" s="273">
        <f t="shared" si="11"/>
        <v>0</v>
      </c>
      <c r="S203" s="166"/>
    </row>
    <row r="204" spans="1:57" x14ac:dyDescent="0.25">
      <c r="A204" s="6">
        <f t="shared" si="9"/>
        <v>61</v>
      </c>
      <c r="B204" s="273">
        <f t="shared" si="11"/>
        <v>0</v>
      </c>
      <c r="S204" s="166"/>
    </row>
    <row r="205" spans="1:57" x14ac:dyDescent="0.25">
      <c r="A205" s="6">
        <f t="shared" si="9"/>
        <v>62</v>
      </c>
      <c r="B205" s="273">
        <f t="shared" si="11"/>
        <v>0</v>
      </c>
      <c r="S205" s="166"/>
    </row>
    <row r="206" spans="1:57" x14ac:dyDescent="0.25">
      <c r="B206" s="6">
        <f t="shared" si="11"/>
        <v>0</v>
      </c>
    </row>
    <row r="207" spans="1:57" x14ac:dyDescent="0.25"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X207" s="35"/>
      <c r="AZ207" s="6"/>
      <c r="BA207" s="6"/>
      <c r="BB207" s="6"/>
      <c r="BD207" s="35"/>
      <c r="BE207" s="6"/>
    </row>
    <row r="208" spans="1:57" s="35" customFormat="1" x14ac:dyDescent="0.25">
      <c r="D208" s="35">
        <v>3</v>
      </c>
      <c r="E208" s="35">
        <v>4</v>
      </c>
      <c r="F208" s="35">
        <v>5</v>
      </c>
      <c r="G208" s="35">
        <v>6</v>
      </c>
      <c r="H208" s="35">
        <v>7</v>
      </c>
      <c r="I208" s="35">
        <v>8</v>
      </c>
      <c r="J208" s="35">
        <v>9</v>
      </c>
      <c r="K208" s="35">
        <v>10</v>
      </c>
      <c r="L208" s="35">
        <v>11</v>
      </c>
      <c r="M208" s="35">
        <v>12</v>
      </c>
      <c r="N208" s="35">
        <v>13</v>
      </c>
      <c r="O208" s="35">
        <v>14</v>
      </c>
      <c r="P208" s="35">
        <v>15</v>
      </c>
      <c r="Q208" s="35">
        <v>16</v>
      </c>
      <c r="R208" s="35">
        <v>17</v>
      </c>
      <c r="S208" s="35">
        <v>18</v>
      </c>
      <c r="T208" s="35">
        <v>19</v>
      </c>
      <c r="U208" s="35">
        <v>20</v>
      </c>
      <c r="V208" s="35">
        <v>21</v>
      </c>
      <c r="W208" s="35">
        <v>22</v>
      </c>
      <c r="X208" s="35">
        <v>23</v>
      </c>
      <c r="Y208" s="35">
        <v>24</v>
      </c>
      <c r="Z208" s="35">
        <v>25</v>
      </c>
      <c r="AA208" s="35">
        <v>26</v>
      </c>
      <c r="AB208" s="35">
        <v>27</v>
      </c>
    </row>
    <row r="209" spans="1:57" x14ac:dyDescent="0.25"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X209" s="35"/>
      <c r="AZ209" s="6"/>
      <c r="BA209" s="6"/>
      <c r="BB209" s="6"/>
      <c r="BD209" s="35"/>
      <c r="BE209" s="6"/>
    </row>
    <row r="210" spans="1:57" x14ac:dyDescent="0.25">
      <c r="B210" s="38" t="s">
        <v>11</v>
      </c>
      <c r="AD210" s="38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X210" s="35"/>
      <c r="AZ210" s="6"/>
      <c r="BA210" s="6"/>
      <c r="BB210" s="6"/>
      <c r="BD210" s="35"/>
      <c r="BE210" s="6"/>
    </row>
    <row r="211" spans="1:57" x14ac:dyDescent="0.25"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X211" s="35"/>
      <c r="AZ211" s="6"/>
      <c r="BA211" s="6"/>
      <c r="BB211" s="6"/>
      <c r="BD211" s="35"/>
      <c r="BE211" s="6"/>
    </row>
    <row r="212" spans="1:57" x14ac:dyDescent="0.25">
      <c r="C212" s="35" t="s">
        <v>26</v>
      </c>
      <c r="E212" s="35" t="s">
        <v>52</v>
      </c>
      <c r="F212" s="35" t="s">
        <v>27</v>
      </c>
      <c r="H212" s="199" t="s">
        <v>31</v>
      </c>
      <c r="J212" s="35" t="s">
        <v>34</v>
      </c>
      <c r="L212" s="35" t="s">
        <v>39</v>
      </c>
      <c r="O212" s="35" t="s">
        <v>43</v>
      </c>
      <c r="R212" s="35" t="s">
        <v>44</v>
      </c>
      <c r="U212" s="35" t="s">
        <v>47</v>
      </c>
      <c r="W212" s="6" t="s">
        <v>51</v>
      </c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X212" s="35"/>
      <c r="AZ212" s="6"/>
      <c r="BA212" s="6"/>
      <c r="BB212" s="6"/>
      <c r="BD212" s="35"/>
      <c r="BE212" s="6"/>
    </row>
    <row r="213" spans="1:57" x14ac:dyDescent="0.25">
      <c r="C213" s="35" t="s">
        <v>66</v>
      </c>
      <c r="E213" s="167" t="s">
        <v>4</v>
      </c>
      <c r="H213" s="35" t="s">
        <v>32</v>
      </c>
      <c r="I213" s="35" t="s">
        <v>33</v>
      </c>
      <c r="U213" s="36">
        <v>10000</v>
      </c>
      <c r="V213" s="36">
        <v>30000</v>
      </c>
      <c r="AC213" s="480" t="s">
        <v>136</v>
      </c>
      <c r="AD213" s="359"/>
      <c r="AE213" s="35"/>
      <c r="AF213" s="35"/>
      <c r="AG213" s="167"/>
      <c r="AH213" s="484" t="s">
        <v>141</v>
      </c>
      <c r="AI213" s="484"/>
      <c r="AJ213" s="35"/>
      <c r="AK213" s="35"/>
      <c r="AL213" s="198"/>
      <c r="AM213" s="35"/>
      <c r="AN213" s="35"/>
      <c r="AO213" s="35"/>
      <c r="AP213" s="35"/>
      <c r="AQ213" s="35"/>
      <c r="AR213" s="198"/>
      <c r="AS213" s="35"/>
      <c r="AT213" s="35"/>
      <c r="AU213" s="35"/>
      <c r="AV213" s="35"/>
      <c r="AW213" s="36"/>
      <c r="AX213" s="36"/>
      <c r="AZ213" s="6"/>
      <c r="BA213" s="6"/>
      <c r="BB213" s="6"/>
      <c r="BD213" s="35"/>
      <c r="BE213" s="6"/>
    </row>
    <row r="214" spans="1:57" x14ac:dyDescent="0.25"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X214" s="35"/>
      <c r="AZ214" s="6"/>
      <c r="BA214" s="6"/>
      <c r="BB214" s="6"/>
      <c r="BD214" s="35"/>
      <c r="BE214" s="6"/>
    </row>
    <row r="215" spans="1:57" ht="15.5" x14ac:dyDescent="0.25">
      <c r="A215" s="6">
        <v>2</v>
      </c>
      <c r="B215" s="255" t="str">
        <f t="shared" ref="B215:B227" si="12">B145</f>
        <v>AC 4 L</v>
      </c>
      <c r="C215" s="268">
        <v>7.2</v>
      </c>
      <c r="D215" s="256"/>
      <c r="E215" s="256" t="s">
        <v>25</v>
      </c>
      <c r="F215" s="268" t="s">
        <v>29</v>
      </c>
      <c r="G215" s="256"/>
      <c r="H215" s="264"/>
      <c r="I215" s="264"/>
      <c r="J215" s="268" t="s">
        <v>36</v>
      </c>
      <c r="K215" s="256"/>
      <c r="L215" s="266" t="s">
        <v>112</v>
      </c>
      <c r="M215" s="256"/>
      <c r="N215" s="256"/>
      <c r="O215" s="266" t="s">
        <v>112</v>
      </c>
      <c r="P215" s="256"/>
      <c r="Q215" s="256"/>
      <c r="R215" s="266" t="s">
        <v>112</v>
      </c>
      <c r="S215" s="256"/>
      <c r="T215" s="256"/>
      <c r="U215" s="256" t="s">
        <v>49</v>
      </c>
      <c r="V215" s="266" t="s">
        <v>112</v>
      </c>
      <c r="W215" s="265" t="s">
        <v>50</v>
      </c>
      <c r="AC215" s="6">
        <v>1</v>
      </c>
      <c r="AE215" s="172"/>
      <c r="AF215" s="35"/>
      <c r="AG215" s="187">
        <v>1</v>
      </c>
      <c r="AH215" s="35"/>
      <c r="AI215" s="35"/>
      <c r="AJ215" s="167"/>
      <c r="AK215" s="167"/>
      <c r="AL215" s="35"/>
      <c r="AM215" s="35"/>
      <c r="AN215" s="196"/>
      <c r="AO215" s="35"/>
      <c r="AP215" s="35"/>
      <c r="AQ215" s="196"/>
      <c r="AR215" s="35"/>
      <c r="AS215" s="35"/>
      <c r="AT215" s="196"/>
      <c r="AU215" s="35"/>
      <c r="AV215" s="35"/>
      <c r="AX215" s="167"/>
      <c r="AY215" s="197"/>
      <c r="AZ215" s="6"/>
      <c r="BA215" s="6"/>
      <c r="BB215" s="6"/>
      <c r="BD215" s="35"/>
      <c r="BE215" s="6"/>
    </row>
    <row r="216" spans="1:57" ht="15.5" x14ac:dyDescent="0.25">
      <c r="A216" s="6">
        <f>A215+1</f>
        <v>3</v>
      </c>
      <c r="B216" s="255" t="str">
        <f t="shared" si="12"/>
        <v>AC 8 L</v>
      </c>
      <c r="C216" s="256">
        <v>6.2</v>
      </c>
      <c r="D216" s="256"/>
      <c r="E216" s="256" t="s">
        <v>25</v>
      </c>
      <c r="F216" s="256" t="s">
        <v>29</v>
      </c>
      <c r="G216" s="256"/>
      <c r="H216" s="264"/>
      <c r="I216" s="264"/>
      <c r="J216" s="256" t="s">
        <v>36</v>
      </c>
      <c r="K216" s="256"/>
      <c r="L216" s="264" t="s">
        <v>125</v>
      </c>
      <c r="M216" s="256"/>
      <c r="N216" s="256"/>
      <c r="O216" s="264" t="s">
        <v>42</v>
      </c>
      <c r="P216" s="256"/>
      <c r="Q216" s="256"/>
      <c r="R216" s="256" t="s">
        <v>21</v>
      </c>
      <c r="S216" s="256"/>
      <c r="T216" s="256"/>
      <c r="U216" s="256" t="s">
        <v>49</v>
      </c>
      <c r="V216" s="256" t="s">
        <v>49</v>
      </c>
      <c r="W216" s="265" t="s">
        <v>50</v>
      </c>
      <c r="AB216" s="180"/>
      <c r="AC216" s="6">
        <v>2</v>
      </c>
      <c r="AD216" s="6">
        <v>20</v>
      </c>
      <c r="AE216" s="480" t="s">
        <v>138</v>
      </c>
      <c r="AF216" s="359"/>
      <c r="AG216" s="187">
        <v>2</v>
      </c>
      <c r="AH216" s="35">
        <v>15</v>
      </c>
      <c r="AI216" s="480" t="s">
        <v>142</v>
      </c>
      <c r="AJ216" s="480"/>
      <c r="AK216" s="167"/>
      <c r="AL216" s="35"/>
      <c r="AM216" s="174"/>
      <c r="AN216" s="167"/>
      <c r="AO216" s="35"/>
      <c r="AP216" s="35"/>
      <c r="AQ216" s="167"/>
      <c r="AR216" s="174"/>
      <c r="AS216" s="35"/>
      <c r="AT216" s="35"/>
      <c r="AU216" s="35"/>
      <c r="AV216" s="35"/>
      <c r="AX216" s="35"/>
      <c r="AY216" s="197"/>
      <c r="AZ216" s="6"/>
      <c r="BA216" s="6"/>
      <c r="BB216" s="6"/>
      <c r="BD216" s="35"/>
      <c r="BE216" s="6"/>
    </row>
    <row r="217" spans="1:57" ht="15.5" x14ac:dyDescent="0.25">
      <c r="A217" s="6">
        <f t="shared" ref="A217:A275" si="13">A216+1</f>
        <v>4</v>
      </c>
      <c r="B217" s="255" t="str">
        <f t="shared" si="12"/>
        <v>AC 11 L</v>
      </c>
      <c r="C217" s="256">
        <v>5.8</v>
      </c>
      <c r="D217" s="256"/>
      <c r="E217" s="256" t="s">
        <v>25</v>
      </c>
      <c r="F217" s="256" t="s">
        <v>29</v>
      </c>
      <c r="G217" s="256"/>
      <c r="H217" s="264"/>
      <c r="I217" s="264"/>
      <c r="J217" s="256" t="s">
        <v>36</v>
      </c>
      <c r="K217" s="256"/>
      <c r="L217" s="264" t="s">
        <v>19</v>
      </c>
      <c r="M217" s="256"/>
      <c r="N217" s="256"/>
      <c r="O217" s="264" t="s">
        <v>20</v>
      </c>
      <c r="P217" s="256"/>
      <c r="Q217" s="256"/>
      <c r="R217" s="268" t="s">
        <v>45</v>
      </c>
      <c r="S217" s="256"/>
      <c r="T217" s="256"/>
      <c r="U217" s="256" t="s">
        <v>49</v>
      </c>
      <c r="V217" s="256" t="s">
        <v>49</v>
      </c>
      <c r="W217" s="265" t="s">
        <v>50</v>
      </c>
      <c r="AB217" s="180"/>
      <c r="AC217" s="6">
        <v>3</v>
      </c>
      <c r="AD217" s="6">
        <v>30</v>
      </c>
      <c r="AE217" s="480" t="s">
        <v>137</v>
      </c>
      <c r="AF217" s="359"/>
      <c r="AG217" s="187">
        <v>3</v>
      </c>
      <c r="AH217" s="35">
        <v>20</v>
      </c>
      <c r="AI217" s="480" t="s">
        <v>155</v>
      </c>
      <c r="AJ217" s="480"/>
      <c r="AK217" s="167"/>
      <c r="AL217" s="35"/>
      <c r="AM217" s="174"/>
      <c r="AN217" s="167"/>
      <c r="AO217" s="35"/>
      <c r="AP217" s="35"/>
      <c r="AQ217" s="167"/>
      <c r="AR217" s="174"/>
      <c r="AS217" s="35"/>
      <c r="AT217" s="35"/>
      <c r="AU217" s="35"/>
      <c r="AV217" s="35"/>
      <c r="AX217" s="35"/>
      <c r="AY217" s="197"/>
      <c r="AZ217" s="6"/>
      <c r="BA217" s="6"/>
      <c r="BB217" s="6"/>
      <c r="BD217" s="35"/>
      <c r="BE217" s="6"/>
    </row>
    <row r="218" spans="1:57" ht="15.5" x14ac:dyDescent="0.25">
      <c r="A218" s="6">
        <f t="shared" si="13"/>
        <v>5</v>
      </c>
      <c r="B218" s="255" t="str">
        <f t="shared" si="12"/>
        <v>AC 16 L</v>
      </c>
      <c r="C218" s="256">
        <v>5.4</v>
      </c>
      <c r="D218" s="256"/>
      <c r="E218" s="268" t="s">
        <v>53</v>
      </c>
      <c r="F218" s="256" t="s">
        <v>29</v>
      </c>
      <c r="G218" s="256"/>
      <c r="H218" s="264"/>
      <c r="I218" s="264"/>
      <c r="J218" s="256" t="s">
        <v>36</v>
      </c>
      <c r="K218" s="256"/>
      <c r="L218" s="264" t="s">
        <v>40</v>
      </c>
      <c r="M218" s="256"/>
      <c r="N218" s="256"/>
      <c r="O218" s="266" t="s">
        <v>42</v>
      </c>
      <c r="P218" s="256"/>
      <c r="Q218" s="256"/>
      <c r="R218" s="256" t="s">
        <v>46</v>
      </c>
      <c r="S218" s="256"/>
      <c r="T218" s="256"/>
      <c r="U218" s="266" t="s">
        <v>112</v>
      </c>
      <c r="V218" s="256" t="s">
        <v>49</v>
      </c>
      <c r="W218" s="265" t="s">
        <v>50</v>
      </c>
      <c r="AB218" s="180"/>
      <c r="AC218" s="6">
        <v>4</v>
      </c>
      <c r="AD218" s="6">
        <v>40</v>
      </c>
      <c r="AE218" s="480" t="s">
        <v>139</v>
      </c>
      <c r="AF218" s="359"/>
      <c r="AG218" s="187">
        <v>4</v>
      </c>
      <c r="AH218" s="35">
        <v>25</v>
      </c>
      <c r="AI218" s="480" t="s">
        <v>143</v>
      </c>
      <c r="AJ218" s="480"/>
      <c r="AK218" s="167"/>
      <c r="AL218" s="35"/>
      <c r="AM218" s="174"/>
      <c r="AN218" s="196"/>
      <c r="AO218" s="35"/>
      <c r="AP218" s="35"/>
      <c r="AQ218" s="167"/>
      <c r="AR218" s="174"/>
      <c r="AS218" s="35"/>
      <c r="AT218" s="196"/>
      <c r="AU218" s="35"/>
      <c r="AV218" s="35"/>
      <c r="AW218" s="167"/>
      <c r="AX218" s="35"/>
      <c r="AY218" s="197"/>
      <c r="AZ218" s="6"/>
      <c r="BA218" s="6"/>
      <c r="BB218" s="6"/>
      <c r="BD218" s="35"/>
      <c r="BE218" s="6"/>
    </row>
    <row r="219" spans="1:57" ht="15.5" x14ac:dyDescent="0.25">
      <c r="A219" s="6">
        <f t="shared" si="13"/>
        <v>6</v>
      </c>
      <c r="B219" s="255" t="str">
        <f t="shared" si="12"/>
        <v xml:space="preserve">AC 8 N </v>
      </c>
      <c r="C219" s="267">
        <v>6</v>
      </c>
      <c r="D219" s="256"/>
      <c r="E219" s="256" t="s">
        <v>25</v>
      </c>
      <c r="F219" s="256" t="s">
        <v>124</v>
      </c>
      <c r="G219" s="256"/>
      <c r="H219" s="264"/>
      <c r="I219" s="264"/>
      <c r="J219" s="256" t="s">
        <v>36</v>
      </c>
      <c r="K219" s="256"/>
      <c r="L219" s="264" t="s">
        <v>40</v>
      </c>
      <c r="M219" s="256"/>
      <c r="N219" s="256"/>
      <c r="O219" s="264" t="s">
        <v>20</v>
      </c>
      <c r="P219" s="256"/>
      <c r="Q219" s="256"/>
      <c r="R219" s="268" t="s">
        <v>45</v>
      </c>
      <c r="S219" s="256"/>
      <c r="T219" s="256"/>
      <c r="U219" s="266" t="s">
        <v>112</v>
      </c>
      <c r="V219" s="266" t="s">
        <v>112</v>
      </c>
      <c r="W219" s="265" t="s">
        <v>50</v>
      </c>
      <c r="AB219" s="180"/>
      <c r="AC219" s="6">
        <v>5</v>
      </c>
      <c r="AD219" s="6">
        <v>50</v>
      </c>
      <c r="AE219" s="480" t="s">
        <v>140</v>
      </c>
      <c r="AF219" s="359"/>
      <c r="AG219" s="187">
        <v>5</v>
      </c>
      <c r="AH219" s="180">
        <v>15</v>
      </c>
      <c r="AI219" s="480" t="s">
        <v>142</v>
      </c>
      <c r="AJ219" s="480"/>
      <c r="AK219" s="167"/>
      <c r="AL219" s="35"/>
      <c r="AM219" s="174"/>
      <c r="AN219" s="196"/>
      <c r="AO219" s="35"/>
      <c r="AP219" s="35"/>
      <c r="AQ219" s="167"/>
      <c r="AR219" s="174"/>
      <c r="AS219" s="35"/>
      <c r="AT219" s="196"/>
      <c r="AU219" s="35"/>
      <c r="AV219" s="35"/>
      <c r="AW219" s="196"/>
      <c r="AX219" s="167"/>
      <c r="AY219" s="197"/>
      <c r="AZ219" s="6"/>
      <c r="BA219" s="6"/>
      <c r="BB219" s="6"/>
      <c r="BD219" s="35"/>
      <c r="BE219" s="6"/>
    </row>
    <row r="220" spans="1:57" ht="15.5" x14ac:dyDescent="0.25">
      <c r="A220" s="6">
        <f t="shared" si="13"/>
        <v>7</v>
      </c>
      <c r="B220" s="255" t="str">
        <f t="shared" si="12"/>
        <v xml:space="preserve">AC 8 S </v>
      </c>
      <c r="C220" s="256">
        <v>5.8</v>
      </c>
      <c r="D220" s="256"/>
      <c r="E220" s="268" t="s">
        <v>25</v>
      </c>
      <c r="F220" s="256" t="s">
        <v>124</v>
      </c>
      <c r="G220" s="256"/>
      <c r="H220" s="264"/>
      <c r="I220" s="264"/>
      <c r="J220" s="268" t="s">
        <v>35</v>
      </c>
      <c r="K220" s="256"/>
      <c r="L220" s="266" t="s">
        <v>112</v>
      </c>
      <c r="M220" s="256"/>
      <c r="N220" s="256"/>
      <c r="O220" s="266" t="s">
        <v>112</v>
      </c>
      <c r="P220" s="256"/>
      <c r="Q220" s="256"/>
      <c r="R220" s="266" t="s">
        <v>112</v>
      </c>
      <c r="S220" s="256"/>
      <c r="T220" s="256"/>
      <c r="U220" s="264" t="s">
        <v>22</v>
      </c>
      <c r="V220" s="256" t="s">
        <v>49</v>
      </c>
      <c r="W220" s="265" t="s">
        <v>50</v>
      </c>
      <c r="AB220" s="180"/>
      <c r="AC220" s="6">
        <v>6</v>
      </c>
      <c r="AD220" s="6">
        <v>60</v>
      </c>
      <c r="AE220" s="480" t="s">
        <v>221</v>
      </c>
      <c r="AF220" s="359"/>
      <c r="AG220" s="187">
        <v>6</v>
      </c>
      <c r="AH220" s="250">
        <v>20.004000000000001</v>
      </c>
      <c r="AI220" s="480" t="s">
        <v>138</v>
      </c>
      <c r="AJ220" s="480"/>
      <c r="AK220" s="167"/>
      <c r="AL220" s="35"/>
      <c r="AM220" s="174"/>
      <c r="AN220" s="167"/>
      <c r="AO220" s="35"/>
      <c r="AP220" s="35"/>
      <c r="AQ220" s="167"/>
      <c r="AR220" s="174"/>
      <c r="AS220" s="35"/>
      <c r="AT220" s="35"/>
      <c r="AU220" s="35"/>
      <c r="AV220" s="35"/>
      <c r="AX220" s="35"/>
      <c r="AY220" s="197"/>
      <c r="AZ220" s="6"/>
      <c r="BA220" s="6"/>
      <c r="BB220" s="6"/>
      <c r="BD220" s="35"/>
      <c r="BE220" s="6"/>
    </row>
    <row r="221" spans="1:57" ht="15.5" x14ac:dyDescent="0.25">
      <c r="A221" s="6">
        <f t="shared" si="13"/>
        <v>8</v>
      </c>
      <c r="B221" s="255" t="str">
        <f t="shared" si="12"/>
        <v xml:space="preserve">AC 8 H </v>
      </c>
      <c r="C221" s="256">
        <v>5.8</v>
      </c>
      <c r="D221" s="256"/>
      <c r="E221" s="268" t="s">
        <v>25</v>
      </c>
      <c r="F221" s="256" t="s">
        <v>28</v>
      </c>
      <c r="G221" s="256"/>
      <c r="H221" s="264"/>
      <c r="I221" s="264"/>
      <c r="J221" s="268" t="s">
        <v>35</v>
      </c>
      <c r="K221" s="256"/>
      <c r="L221" s="266" t="s">
        <v>112</v>
      </c>
      <c r="M221" s="256"/>
      <c r="N221" s="256"/>
      <c r="O221" s="266" t="s">
        <v>112</v>
      </c>
      <c r="P221" s="256"/>
      <c r="Q221" s="256"/>
      <c r="R221" s="266" t="s">
        <v>112</v>
      </c>
      <c r="S221" s="256"/>
      <c r="T221" s="256"/>
      <c r="U221" s="256" t="s">
        <v>49</v>
      </c>
      <c r="V221" s="264" t="s">
        <v>22</v>
      </c>
      <c r="W221" s="265" t="s">
        <v>50</v>
      </c>
      <c r="AB221" s="180"/>
      <c r="AC221" s="6">
        <v>7</v>
      </c>
      <c r="AD221" s="6">
        <v>70</v>
      </c>
      <c r="AE221" s="480" t="s">
        <v>222</v>
      </c>
      <c r="AF221" s="359"/>
      <c r="AG221" s="187">
        <v>7</v>
      </c>
      <c r="AH221" s="180">
        <v>30</v>
      </c>
      <c r="AI221" s="480" t="s">
        <v>156</v>
      </c>
      <c r="AJ221" s="480"/>
      <c r="AK221" s="167"/>
      <c r="AL221" s="35"/>
      <c r="AM221" s="174"/>
      <c r="AN221" s="167"/>
      <c r="AO221" s="35"/>
      <c r="AP221" s="35"/>
      <c r="AQ221" s="167"/>
      <c r="AR221" s="174"/>
      <c r="AS221" s="35"/>
      <c r="AT221" s="35"/>
      <c r="AU221" s="35"/>
      <c r="AV221" s="35"/>
      <c r="AX221" s="35"/>
      <c r="AY221" s="197"/>
      <c r="AZ221" s="6"/>
      <c r="BA221" s="6"/>
      <c r="BB221" s="6"/>
      <c r="BD221" s="35"/>
      <c r="BE221" s="6"/>
    </row>
    <row r="222" spans="1:57" ht="15.5" x14ac:dyDescent="0.25">
      <c r="A222" s="6">
        <f t="shared" si="13"/>
        <v>9</v>
      </c>
      <c r="B222" s="255" t="str">
        <f t="shared" si="12"/>
        <v xml:space="preserve">AC MR 8 </v>
      </c>
      <c r="C222" s="256">
        <v>5.8</v>
      </c>
      <c r="D222" s="256"/>
      <c r="E222" s="256" t="s">
        <v>25</v>
      </c>
      <c r="F222" s="256" t="s">
        <v>28</v>
      </c>
      <c r="G222" s="256"/>
      <c r="H222" s="264"/>
      <c r="I222" s="264"/>
      <c r="J222" s="268" t="s">
        <v>35</v>
      </c>
      <c r="K222" s="256"/>
      <c r="L222" s="266" t="s">
        <v>112</v>
      </c>
      <c r="M222" s="256"/>
      <c r="N222" s="256"/>
      <c r="O222" s="266" t="s">
        <v>112</v>
      </c>
      <c r="P222" s="256"/>
      <c r="Q222" s="256"/>
      <c r="R222" s="266" t="s">
        <v>112</v>
      </c>
      <c r="S222" s="256"/>
      <c r="T222" s="256"/>
      <c r="U222" s="256" t="s">
        <v>49</v>
      </c>
      <c r="V222" s="264" t="s">
        <v>48</v>
      </c>
      <c r="W222" s="265" t="s">
        <v>50</v>
      </c>
      <c r="AB222" s="180"/>
      <c r="AC222" s="6">
        <v>8</v>
      </c>
      <c r="AD222" s="251">
        <v>20.004000000000001</v>
      </c>
      <c r="AE222" s="480" t="s">
        <v>138</v>
      </c>
      <c r="AF222" s="480"/>
      <c r="AG222" s="35"/>
      <c r="AH222" s="35"/>
      <c r="AI222" s="35"/>
      <c r="AJ222" s="167"/>
      <c r="AK222" s="167"/>
      <c r="AL222" s="35"/>
      <c r="AM222" s="174"/>
      <c r="AN222" s="196"/>
      <c r="AO222" s="35"/>
      <c r="AP222" s="35"/>
      <c r="AQ222" s="167"/>
      <c r="AR222" s="174"/>
      <c r="AS222" s="35"/>
      <c r="AT222" s="35"/>
      <c r="AU222" s="35"/>
      <c r="AV222" s="35"/>
      <c r="AX222" s="35"/>
      <c r="AY222" s="197"/>
      <c r="AZ222" s="6"/>
      <c r="BA222" s="6"/>
      <c r="BB222" s="6"/>
      <c r="BD222" s="35"/>
      <c r="BE222" s="6"/>
    </row>
    <row r="223" spans="1:57" ht="15.5" x14ac:dyDescent="0.25">
      <c r="A223" s="6">
        <f t="shared" si="13"/>
        <v>10</v>
      </c>
      <c r="B223" s="255" t="str">
        <f t="shared" si="12"/>
        <v xml:space="preserve">AC MR 11 </v>
      </c>
      <c r="C223" s="268">
        <v>5.6</v>
      </c>
      <c r="D223" s="256"/>
      <c r="E223" s="256" t="s">
        <v>25</v>
      </c>
      <c r="F223" s="256" t="s">
        <v>28</v>
      </c>
      <c r="G223" s="256"/>
      <c r="H223" s="264"/>
      <c r="I223" s="264"/>
      <c r="J223" s="256" t="s">
        <v>35</v>
      </c>
      <c r="K223" s="256"/>
      <c r="L223" s="266" t="s">
        <v>112</v>
      </c>
      <c r="M223" s="256"/>
      <c r="N223" s="256"/>
      <c r="O223" s="266" t="s">
        <v>112</v>
      </c>
      <c r="P223" s="256"/>
      <c r="Q223" s="256"/>
      <c r="R223" s="266" t="s">
        <v>112</v>
      </c>
      <c r="S223" s="256"/>
      <c r="T223" s="256"/>
      <c r="U223" s="256" t="s">
        <v>49</v>
      </c>
      <c r="V223" s="264" t="s">
        <v>48</v>
      </c>
      <c r="W223" s="265" t="s">
        <v>50</v>
      </c>
      <c r="AB223" s="180"/>
      <c r="AC223" s="6">
        <v>9</v>
      </c>
      <c r="AD223" s="251">
        <v>29.99</v>
      </c>
      <c r="AE223" s="480" t="s">
        <v>137</v>
      </c>
      <c r="AF223" s="480"/>
      <c r="AG223" s="35"/>
      <c r="AH223" s="35"/>
      <c r="AI223" s="35"/>
      <c r="AJ223" s="167"/>
      <c r="AK223" s="167"/>
      <c r="AL223" s="35"/>
      <c r="AM223" s="174"/>
      <c r="AN223" s="196"/>
      <c r="AO223" s="35"/>
      <c r="AP223" s="35"/>
      <c r="AQ223" s="167"/>
      <c r="AR223" s="174"/>
      <c r="AS223" s="35"/>
      <c r="AT223" s="196"/>
      <c r="AU223" s="35"/>
      <c r="AV223" s="35"/>
      <c r="AX223" s="167"/>
      <c r="AY223" s="197"/>
      <c r="AZ223" s="6"/>
      <c r="BA223" s="6"/>
      <c r="BB223" s="6"/>
      <c r="BD223" s="35"/>
      <c r="BE223" s="6"/>
    </row>
    <row r="224" spans="1:57" ht="15.5" x14ac:dyDescent="0.25">
      <c r="A224" s="6">
        <f t="shared" si="13"/>
        <v>11</v>
      </c>
      <c r="B224" s="255" t="str">
        <f t="shared" si="12"/>
        <v>AC 11 N</v>
      </c>
      <c r="C224" s="256">
        <v>5.6</v>
      </c>
      <c r="D224" s="256"/>
      <c r="E224" s="256" t="s">
        <v>25</v>
      </c>
      <c r="F224" s="256" t="s">
        <v>124</v>
      </c>
      <c r="G224" s="256"/>
      <c r="H224" s="264"/>
      <c r="I224" s="264"/>
      <c r="J224" s="256" t="s">
        <v>36</v>
      </c>
      <c r="K224" s="256"/>
      <c r="L224" s="264" t="s">
        <v>19</v>
      </c>
      <c r="M224" s="256"/>
      <c r="N224" s="256"/>
      <c r="O224" s="264" t="s">
        <v>20</v>
      </c>
      <c r="P224" s="256"/>
      <c r="Q224" s="256"/>
      <c r="R224" s="268" t="s">
        <v>45</v>
      </c>
      <c r="S224" s="256"/>
      <c r="T224" s="256"/>
      <c r="U224" s="256" t="s">
        <v>49</v>
      </c>
      <c r="V224" s="256" t="s">
        <v>49</v>
      </c>
      <c r="W224" s="265" t="s">
        <v>50</v>
      </c>
      <c r="AB224" s="180"/>
      <c r="AE224" s="35"/>
      <c r="AF224" s="35"/>
      <c r="AG224" s="35"/>
      <c r="AH224" s="35"/>
      <c r="AI224" s="35"/>
      <c r="AJ224" s="167"/>
      <c r="AK224" s="167"/>
      <c r="AL224" s="35"/>
      <c r="AM224" s="174"/>
      <c r="AN224" s="167"/>
      <c r="AO224" s="35"/>
      <c r="AP224" s="35"/>
      <c r="AQ224" s="167"/>
      <c r="AR224" s="174"/>
      <c r="AS224" s="35"/>
      <c r="AT224" s="35"/>
      <c r="AU224" s="35"/>
      <c r="AV224" s="35"/>
      <c r="AX224" s="35"/>
      <c r="AY224" s="197"/>
      <c r="AZ224" s="6"/>
      <c r="BA224" s="6"/>
      <c r="BB224" s="6"/>
      <c r="BD224" s="35"/>
      <c r="BE224" s="6"/>
    </row>
    <row r="225" spans="1:57" ht="15.5" x14ac:dyDescent="0.25">
      <c r="A225" s="6">
        <f t="shared" si="13"/>
        <v>12</v>
      </c>
      <c r="B225" s="255" t="str">
        <f t="shared" si="12"/>
        <v>AC 11 S</v>
      </c>
      <c r="C225" s="267">
        <v>5.4</v>
      </c>
      <c r="D225" s="256"/>
      <c r="E225" s="256" t="s">
        <v>25</v>
      </c>
      <c r="F225" s="256" t="s">
        <v>124</v>
      </c>
      <c r="G225" s="256"/>
      <c r="H225" s="264"/>
      <c r="I225" s="264"/>
      <c r="J225" s="268" t="s">
        <v>35</v>
      </c>
      <c r="K225" s="256"/>
      <c r="L225" s="266" t="s">
        <v>112</v>
      </c>
      <c r="M225" s="256"/>
      <c r="N225" s="256"/>
      <c r="O225" s="266" t="s">
        <v>112</v>
      </c>
      <c r="P225" s="256"/>
      <c r="Q225" s="256"/>
      <c r="R225" s="266" t="s">
        <v>112</v>
      </c>
      <c r="S225" s="256"/>
      <c r="T225" s="256"/>
      <c r="U225" s="264" t="s">
        <v>22</v>
      </c>
      <c r="V225" s="256" t="s">
        <v>49</v>
      </c>
      <c r="W225" s="265" t="s">
        <v>50</v>
      </c>
      <c r="X225" s="6">
        <v>100</v>
      </c>
      <c r="AB225" s="180"/>
      <c r="AE225" s="174"/>
      <c r="AF225" s="35"/>
      <c r="AG225" s="35"/>
      <c r="AH225" s="35"/>
      <c r="AI225" s="35"/>
      <c r="AJ225" s="167"/>
      <c r="AK225" s="167"/>
      <c r="AL225" s="35"/>
      <c r="AM225" s="174"/>
      <c r="AN225" s="167"/>
      <c r="AO225" s="35"/>
      <c r="AP225" s="35"/>
      <c r="AQ225" s="167"/>
      <c r="AR225" s="174"/>
      <c r="AS225" s="35"/>
      <c r="AT225" s="35"/>
      <c r="AU225" s="35"/>
      <c r="AV225" s="35"/>
      <c r="AX225" s="35"/>
      <c r="AY225" s="197"/>
      <c r="AZ225" s="6"/>
      <c r="BA225" s="6"/>
      <c r="BB225" s="6"/>
      <c r="BD225" s="35"/>
      <c r="BE225" s="6"/>
    </row>
    <row r="226" spans="1:57" ht="15.5" x14ac:dyDescent="0.25">
      <c r="A226" s="6">
        <f t="shared" si="13"/>
        <v>13</v>
      </c>
      <c r="B226" s="255" t="str">
        <f t="shared" si="12"/>
        <v xml:space="preserve">AC 11 H </v>
      </c>
      <c r="C226" s="256">
        <v>5.4</v>
      </c>
      <c r="D226" s="256"/>
      <c r="E226" s="256" t="s">
        <v>25</v>
      </c>
      <c r="F226" s="256" t="s">
        <v>28</v>
      </c>
      <c r="G226" s="256"/>
      <c r="H226" s="264"/>
      <c r="I226" s="264"/>
      <c r="J226" s="256" t="s">
        <v>35</v>
      </c>
      <c r="K226" s="256"/>
      <c r="L226" s="266" t="s">
        <v>112</v>
      </c>
      <c r="M226" s="256"/>
      <c r="N226" s="256"/>
      <c r="O226" s="266" t="s">
        <v>112</v>
      </c>
      <c r="P226" s="256"/>
      <c r="Q226" s="256"/>
      <c r="R226" s="266" t="s">
        <v>112</v>
      </c>
      <c r="S226" s="256"/>
      <c r="T226" s="256"/>
      <c r="U226" s="266" t="s">
        <v>112</v>
      </c>
      <c r="V226" s="264" t="s">
        <v>22</v>
      </c>
      <c r="W226" s="265" t="s">
        <v>50</v>
      </c>
      <c r="AB226" s="180"/>
      <c r="AE226" s="35"/>
      <c r="AF226" s="35"/>
      <c r="AG226" s="35"/>
      <c r="AH226" s="35"/>
      <c r="AI226" s="35"/>
      <c r="AJ226" s="167"/>
      <c r="AK226" s="167"/>
      <c r="AL226" s="35"/>
      <c r="AM226" s="174"/>
      <c r="AN226" s="196"/>
      <c r="AO226" s="35"/>
      <c r="AP226" s="35"/>
      <c r="AQ226" s="167"/>
      <c r="AR226" s="174"/>
      <c r="AS226" s="35"/>
      <c r="AT226" s="196"/>
      <c r="AU226" s="35"/>
      <c r="AV226" s="35"/>
      <c r="AW226" s="167"/>
      <c r="AX226" s="35"/>
      <c r="AY226" s="197"/>
      <c r="AZ226" s="6"/>
      <c r="BA226" s="6"/>
      <c r="BB226" s="6"/>
      <c r="BD226" s="35"/>
      <c r="BE226" s="6"/>
    </row>
    <row r="227" spans="1:57" ht="15.5" x14ac:dyDescent="0.25">
      <c r="A227" s="6">
        <f t="shared" si="13"/>
        <v>14</v>
      </c>
      <c r="B227" s="255" t="str">
        <f t="shared" si="12"/>
        <v>AC B 11 S</v>
      </c>
      <c r="C227" s="256">
        <v>4.8</v>
      </c>
      <c r="D227" s="256"/>
      <c r="E227" s="256" t="s">
        <v>25</v>
      </c>
      <c r="F227" s="256" t="s">
        <v>124</v>
      </c>
      <c r="G227" s="256"/>
      <c r="H227" s="264"/>
      <c r="I227" s="264"/>
      <c r="J227" s="256" t="s">
        <v>35</v>
      </c>
      <c r="K227" s="256"/>
      <c r="L227" s="266" t="s">
        <v>112</v>
      </c>
      <c r="M227" s="256"/>
      <c r="N227" s="256"/>
      <c r="O227" s="266" t="s">
        <v>112</v>
      </c>
      <c r="P227" s="256"/>
      <c r="Q227" s="256"/>
      <c r="R227" s="266" t="s">
        <v>112</v>
      </c>
      <c r="S227" s="256"/>
      <c r="T227" s="256"/>
      <c r="U227" s="264" t="s">
        <v>22</v>
      </c>
      <c r="V227" s="266" t="s">
        <v>112</v>
      </c>
      <c r="W227" s="265" t="s">
        <v>50</v>
      </c>
      <c r="AB227" s="180"/>
      <c r="AE227" s="35"/>
      <c r="AF227" s="35"/>
      <c r="AG227" s="35"/>
      <c r="AH227" s="35"/>
      <c r="AI227" s="35"/>
      <c r="AJ227" s="167"/>
      <c r="AK227" s="167"/>
      <c r="AL227" s="35"/>
      <c r="AM227" s="174"/>
      <c r="AN227" s="196"/>
      <c r="AO227" s="35"/>
      <c r="AP227" s="35"/>
      <c r="AQ227" s="167"/>
      <c r="AR227" s="174"/>
      <c r="AS227" s="35"/>
      <c r="AT227" s="196"/>
      <c r="AU227" s="35"/>
      <c r="AV227" s="35"/>
      <c r="AW227" s="196"/>
      <c r="AX227" s="167"/>
      <c r="AY227" s="197"/>
      <c r="AZ227" s="6"/>
      <c r="BA227" s="6"/>
      <c r="BB227" s="6"/>
      <c r="BD227" s="35"/>
      <c r="BE227" s="6"/>
    </row>
    <row r="228" spans="1:57" ht="15.5" x14ac:dyDescent="0.25">
      <c r="A228" s="6">
        <f t="shared" si="13"/>
        <v>15</v>
      </c>
      <c r="B228" s="255" t="str">
        <f t="shared" ref="B228:B259" si="14">B158</f>
        <v xml:space="preserve">AC B 16 S </v>
      </c>
      <c r="C228" s="256">
        <v>4.4000000000000004</v>
      </c>
      <c r="D228" s="256"/>
      <c r="E228" s="268" t="s">
        <v>53</v>
      </c>
      <c r="F228" s="256" t="s">
        <v>124</v>
      </c>
      <c r="G228" s="256"/>
      <c r="H228" s="264"/>
      <c r="I228" s="264"/>
      <c r="J228" s="256" t="s">
        <v>35</v>
      </c>
      <c r="K228" s="256"/>
      <c r="L228" s="266" t="s">
        <v>112</v>
      </c>
      <c r="M228" s="256"/>
      <c r="N228" s="256"/>
      <c r="O228" s="266" t="s">
        <v>112</v>
      </c>
      <c r="P228" s="256"/>
      <c r="Q228" s="256"/>
      <c r="R228" s="266" t="s">
        <v>112</v>
      </c>
      <c r="S228" s="256"/>
      <c r="T228" s="256"/>
      <c r="U228" s="264" t="s">
        <v>22</v>
      </c>
      <c r="V228" s="256" t="s">
        <v>49</v>
      </c>
      <c r="W228" s="265" t="s">
        <v>50</v>
      </c>
      <c r="AB228" s="180"/>
      <c r="AE228" s="35"/>
      <c r="AF228" s="35"/>
      <c r="AG228" s="35"/>
      <c r="AH228" s="35"/>
      <c r="AI228" s="35"/>
      <c r="AJ228" s="167"/>
      <c r="AK228" s="167"/>
      <c r="AL228" s="35"/>
      <c r="AM228" s="174"/>
      <c r="AN228" s="196"/>
      <c r="AO228" s="35"/>
      <c r="AP228" s="35"/>
      <c r="AQ228" s="167"/>
      <c r="AR228" s="174"/>
      <c r="AS228" s="35"/>
      <c r="AT228" s="196"/>
      <c r="AU228" s="35"/>
      <c r="AV228" s="35"/>
      <c r="AW228" s="167"/>
      <c r="AX228" s="35"/>
      <c r="AY228" s="197"/>
      <c r="AZ228" s="6"/>
      <c r="BA228" s="6"/>
      <c r="BB228" s="6"/>
      <c r="BD228" s="35"/>
      <c r="BE228" s="6"/>
    </row>
    <row r="229" spans="1:57" ht="15.5" x14ac:dyDescent="0.25">
      <c r="A229" s="6">
        <f t="shared" si="13"/>
        <v>16</v>
      </c>
      <c r="B229" s="255" t="str">
        <f t="shared" si="14"/>
        <v xml:space="preserve">AC B 16 H </v>
      </c>
      <c r="C229" s="268">
        <v>4.4000000000000004</v>
      </c>
      <c r="D229" s="256"/>
      <c r="E229" s="256" t="s">
        <v>53</v>
      </c>
      <c r="F229" s="256" t="s">
        <v>124</v>
      </c>
      <c r="G229" s="256"/>
      <c r="H229" s="264"/>
      <c r="I229" s="264"/>
      <c r="J229" s="256" t="s">
        <v>35</v>
      </c>
      <c r="K229" s="256"/>
      <c r="L229" s="266" t="s">
        <v>112</v>
      </c>
      <c r="M229" s="256"/>
      <c r="N229" s="256"/>
      <c r="O229" s="266" t="s">
        <v>112</v>
      </c>
      <c r="P229" s="256"/>
      <c r="Q229" s="256"/>
      <c r="R229" s="266" t="s">
        <v>112</v>
      </c>
      <c r="S229" s="256"/>
      <c r="T229" s="256"/>
      <c r="U229" s="256" t="s">
        <v>49</v>
      </c>
      <c r="V229" s="264" t="s">
        <v>48</v>
      </c>
      <c r="W229" s="265" t="s">
        <v>50</v>
      </c>
      <c r="AB229" s="180"/>
      <c r="AE229" s="172"/>
      <c r="AF229" s="35"/>
      <c r="AG229" s="35"/>
      <c r="AH229" s="35"/>
      <c r="AI229" s="35"/>
      <c r="AJ229" s="167"/>
      <c r="AK229" s="167"/>
      <c r="AL229" s="35"/>
      <c r="AM229" s="174"/>
      <c r="AN229" s="196"/>
      <c r="AO229" s="35"/>
      <c r="AP229" s="35"/>
      <c r="AQ229" s="167"/>
      <c r="AR229" s="174"/>
      <c r="AS229" s="35"/>
      <c r="AT229" s="196"/>
      <c r="AU229" s="35"/>
      <c r="AV229" s="35"/>
      <c r="AX229" s="167"/>
      <c r="AY229" s="197"/>
      <c r="AZ229" s="6"/>
      <c r="BA229" s="6"/>
      <c r="BB229" s="6"/>
      <c r="BD229" s="35"/>
      <c r="BE229" s="6"/>
    </row>
    <row r="230" spans="1:57" ht="15.5" x14ac:dyDescent="0.25">
      <c r="A230" s="6">
        <f t="shared" si="13"/>
        <v>17</v>
      </c>
      <c r="B230" s="255" t="str">
        <f t="shared" si="14"/>
        <v xml:space="preserve">AC B 22 S </v>
      </c>
      <c r="C230" s="267">
        <v>4</v>
      </c>
      <c r="D230" s="256"/>
      <c r="E230" s="256" t="s">
        <v>53</v>
      </c>
      <c r="F230" s="256" t="s">
        <v>124</v>
      </c>
      <c r="G230" s="256"/>
      <c r="H230" s="264"/>
      <c r="I230" s="264"/>
      <c r="J230" s="268" t="s">
        <v>37</v>
      </c>
      <c r="K230" s="256"/>
      <c r="L230" s="266" t="s">
        <v>112</v>
      </c>
      <c r="M230" s="256"/>
      <c r="N230" s="256"/>
      <c r="O230" s="266" t="s">
        <v>112</v>
      </c>
      <c r="P230" s="256"/>
      <c r="Q230" s="256"/>
      <c r="R230" s="266" t="s">
        <v>112</v>
      </c>
      <c r="S230" s="256"/>
      <c r="T230" s="256"/>
      <c r="U230" s="264" t="s">
        <v>22</v>
      </c>
      <c r="V230" s="256" t="s">
        <v>49</v>
      </c>
      <c r="W230" s="265" t="s">
        <v>50</v>
      </c>
      <c r="AB230" s="180"/>
      <c r="AE230" s="35"/>
      <c r="AF230" s="35"/>
      <c r="AG230" s="35"/>
      <c r="AH230" s="35"/>
      <c r="AI230" s="35"/>
      <c r="AJ230" s="167"/>
      <c r="AK230" s="167"/>
      <c r="AL230" s="35"/>
      <c r="AM230" s="174"/>
      <c r="AN230" s="196"/>
      <c r="AO230" s="35"/>
      <c r="AP230" s="35"/>
      <c r="AQ230" s="167"/>
      <c r="AR230" s="174"/>
      <c r="AS230" s="35"/>
      <c r="AT230" s="196"/>
      <c r="AU230" s="35"/>
      <c r="AV230" s="35"/>
      <c r="AW230" s="167"/>
      <c r="AX230" s="35"/>
      <c r="AY230" s="197"/>
      <c r="AZ230" s="6"/>
      <c r="BA230" s="6"/>
      <c r="BB230" s="6"/>
      <c r="BD230" s="35"/>
      <c r="BE230" s="6"/>
    </row>
    <row r="231" spans="1:57" ht="15.5" x14ac:dyDescent="0.25">
      <c r="A231" s="6">
        <f t="shared" si="13"/>
        <v>18</v>
      </c>
      <c r="B231" s="255" t="str">
        <f t="shared" si="14"/>
        <v xml:space="preserve">AC B 22 H </v>
      </c>
      <c r="C231" s="267">
        <v>4</v>
      </c>
      <c r="D231" s="256"/>
      <c r="E231" s="256" t="s">
        <v>53</v>
      </c>
      <c r="F231" s="256" t="s">
        <v>124</v>
      </c>
      <c r="G231" s="256"/>
      <c r="H231" s="264"/>
      <c r="I231" s="264"/>
      <c r="J231" s="268" t="s">
        <v>37</v>
      </c>
      <c r="K231" s="256"/>
      <c r="L231" s="266" t="s">
        <v>112</v>
      </c>
      <c r="M231" s="256"/>
      <c r="N231" s="256"/>
      <c r="O231" s="266" t="s">
        <v>112</v>
      </c>
      <c r="P231" s="256"/>
      <c r="Q231" s="256"/>
      <c r="R231" s="266" t="s">
        <v>112</v>
      </c>
      <c r="S231" s="256"/>
      <c r="T231" s="256"/>
      <c r="U231" s="266" t="s">
        <v>112</v>
      </c>
      <c r="V231" s="264" t="s">
        <v>48</v>
      </c>
      <c r="W231" s="265" t="s">
        <v>50</v>
      </c>
      <c r="AB231" s="180"/>
      <c r="AE231" s="35"/>
      <c r="AF231" s="35"/>
      <c r="AG231" s="35"/>
      <c r="AH231" s="35"/>
      <c r="AI231" s="35"/>
      <c r="AJ231" s="167"/>
      <c r="AK231" s="167"/>
      <c r="AL231" s="35"/>
      <c r="AM231" s="174"/>
      <c r="AN231" s="196"/>
      <c r="AO231" s="35"/>
      <c r="AP231" s="35"/>
      <c r="AQ231" s="167"/>
      <c r="AR231" s="174"/>
      <c r="AS231" s="35"/>
      <c r="AT231" s="196"/>
      <c r="AU231" s="35"/>
      <c r="AV231" s="35"/>
      <c r="AW231" s="167"/>
      <c r="AX231" s="35"/>
      <c r="AY231" s="197"/>
      <c r="AZ231" s="6"/>
      <c r="BA231" s="6"/>
      <c r="BB231" s="6"/>
      <c r="BD231" s="35"/>
      <c r="BE231" s="6"/>
    </row>
    <row r="232" spans="1:57" ht="15.5" x14ac:dyDescent="0.25">
      <c r="A232" s="6">
        <f t="shared" si="13"/>
        <v>19</v>
      </c>
      <c r="B232" s="269" t="str">
        <f t="shared" si="14"/>
        <v>AC T 11 L</v>
      </c>
      <c r="C232" s="268">
        <v>5.2</v>
      </c>
      <c r="D232" s="268"/>
      <c r="E232" s="268" t="s">
        <v>25</v>
      </c>
      <c r="F232" s="268" t="s">
        <v>30</v>
      </c>
      <c r="G232" s="268"/>
      <c r="H232" s="264"/>
      <c r="I232" s="264"/>
      <c r="J232" s="268" t="s">
        <v>36</v>
      </c>
      <c r="K232" s="268"/>
      <c r="L232" s="264" t="s">
        <v>19</v>
      </c>
      <c r="M232" s="268"/>
      <c r="N232" s="268"/>
      <c r="O232" s="266" t="s">
        <v>42</v>
      </c>
      <c r="P232" s="268"/>
      <c r="Q232" s="268"/>
      <c r="R232" s="268" t="s">
        <v>45</v>
      </c>
      <c r="S232" s="268"/>
      <c r="T232" s="268"/>
      <c r="U232" s="268" t="s">
        <v>49</v>
      </c>
      <c r="V232" s="266" t="s">
        <v>112</v>
      </c>
      <c r="W232" s="265" t="s">
        <v>50</v>
      </c>
      <c r="AB232" s="180"/>
      <c r="AE232" s="172"/>
      <c r="AF232" s="35"/>
      <c r="AG232" s="35"/>
      <c r="AH232" s="35"/>
      <c r="AI232" s="35"/>
      <c r="AJ232" s="167"/>
      <c r="AK232" s="167"/>
      <c r="AL232" s="35"/>
      <c r="AM232" s="174"/>
      <c r="AN232" s="196"/>
      <c r="AO232" s="35"/>
      <c r="AP232" s="35"/>
      <c r="AQ232" s="167"/>
      <c r="AR232" s="174"/>
      <c r="AS232" s="35"/>
      <c r="AT232" s="196"/>
      <c r="AU232" s="35"/>
      <c r="AV232" s="35"/>
      <c r="AX232" s="167"/>
      <c r="AY232" s="197"/>
      <c r="AZ232" s="6"/>
      <c r="BA232" s="6"/>
      <c r="BB232" s="6"/>
      <c r="BD232" s="35"/>
      <c r="BE232" s="6"/>
    </row>
    <row r="233" spans="1:57" ht="15.5" x14ac:dyDescent="0.25">
      <c r="A233" s="6">
        <f t="shared" si="13"/>
        <v>20</v>
      </c>
      <c r="B233" s="255" t="str">
        <f t="shared" si="14"/>
        <v>AC T 11 N</v>
      </c>
      <c r="C233" s="267">
        <v>5</v>
      </c>
      <c r="D233" s="256"/>
      <c r="E233" s="268" t="s">
        <v>25</v>
      </c>
      <c r="F233" s="256" t="s">
        <v>30</v>
      </c>
      <c r="G233" s="256"/>
      <c r="H233" s="264"/>
      <c r="I233" s="264"/>
      <c r="J233" s="268" t="s">
        <v>35</v>
      </c>
      <c r="K233" s="256"/>
      <c r="L233" s="264" t="s">
        <v>41</v>
      </c>
      <c r="M233" s="256"/>
      <c r="N233" s="256"/>
      <c r="O233" s="264" t="s">
        <v>42</v>
      </c>
      <c r="P233" s="256"/>
      <c r="Q233" s="256"/>
      <c r="R233" s="256" t="s">
        <v>46</v>
      </c>
      <c r="S233" s="256"/>
      <c r="T233" s="256"/>
      <c r="U233" s="266" t="s">
        <v>112</v>
      </c>
      <c r="V233" s="256" t="s">
        <v>49</v>
      </c>
      <c r="W233" s="265" t="s">
        <v>50</v>
      </c>
      <c r="AB233" s="180"/>
      <c r="AE233" s="174"/>
      <c r="AF233" s="35"/>
      <c r="AG233" s="35"/>
      <c r="AH233" s="35"/>
      <c r="AI233" s="35"/>
      <c r="AJ233" s="167"/>
      <c r="AK233" s="167"/>
      <c r="AL233" s="35"/>
      <c r="AM233" s="174"/>
      <c r="AN233" s="196"/>
      <c r="AO233" s="35"/>
      <c r="AP233" s="35"/>
      <c r="AQ233" s="167"/>
      <c r="AR233" s="174"/>
      <c r="AS233" s="35"/>
      <c r="AT233" s="196"/>
      <c r="AU233" s="35"/>
      <c r="AV233" s="35"/>
      <c r="AW233" s="167"/>
      <c r="AX233" s="35"/>
      <c r="AY233" s="197"/>
      <c r="AZ233" s="6"/>
      <c r="BA233" s="6"/>
      <c r="BB233" s="6"/>
      <c r="BD233" s="35"/>
      <c r="BE233" s="6"/>
    </row>
    <row r="234" spans="1:57" ht="15.5" x14ac:dyDescent="0.25">
      <c r="A234" s="6">
        <f t="shared" si="13"/>
        <v>21</v>
      </c>
      <c r="B234" s="255" t="str">
        <f t="shared" si="14"/>
        <v>AC T 16 L</v>
      </c>
      <c r="C234" s="267">
        <v>4.8</v>
      </c>
      <c r="D234" s="256"/>
      <c r="E234" s="256" t="s">
        <v>53</v>
      </c>
      <c r="F234" s="256" t="s">
        <v>30</v>
      </c>
      <c r="G234" s="256"/>
      <c r="H234" s="264"/>
      <c r="I234" s="264"/>
      <c r="J234" s="268" t="s">
        <v>36</v>
      </c>
      <c r="K234" s="256"/>
      <c r="L234" s="264" t="s">
        <v>19</v>
      </c>
      <c r="M234" s="256"/>
      <c r="N234" s="256"/>
      <c r="O234" s="264" t="s">
        <v>42</v>
      </c>
      <c r="P234" s="256"/>
      <c r="Q234" s="256"/>
      <c r="R234" s="256" t="s">
        <v>45</v>
      </c>
      <c r="S234" s="256"/>
      <c r="T234" s="256"/>
      <c r="U234" s="266" t="s">
        <v>112</v>
      </c>
      <c r="V234" s="256" t="s">
        <v>49</v>
      </c>
      <c r="W234" s="265" t="s">
        <v>50</v>
      </c>
      <c r="AB234" s="180"/>
      <c r="AE234" s="174"/>
      <c r="AF234" s="35"/>
      <c r="AG234" s="35"/>
      <c r="AH234" s="35"/>
      <c r="AI234" s="35"/>
      <c r="AJ234" s="167"/>
      <c r="AK234" s="167"/>
      <c r="AL234" s="35"/>
      <c r="AM234" s="174"/>
      <c r="AN234" s="196"/>
      <c r="AO234" s="35"/>
      <c r="AP234" s="35"/>
      <c r="AQ234" s="167"/>
      <c r="AR234" s="174"/>
      <c r="AS234" s="35"/>
      <c r="AT234" s="196"/>
      <c r="AU234" s="35"/>
      <c r="AV234" s="35"/>
      <c r="AW234" s="167"/>
      <c r="AX234" s="35"/>
      <c r="AY234" s="197"/>
      <c r="AZ234" s="6"/>
      <c r="BA234" s="6"/>
      <c r="BB234" s="6"/>
      <c r="BD234" s="35"/>
      <c r="BE234" s="6"/>
    </row>
    <row r="235" spans="1:57" ht="15.5" x14ac:dyDescent="0.25">
      <c r="A235" s="6">
        <f t="shared" si="13"/>
        <v>22</v>
      </c>
      <c r="B235" s="255" t="str">
        <f t="shared" si="14"/>
        <v xml:space="preserve">AC T 16 N </v>
      </c>
      <c r="C235" s="256">
        <v>4.5999999999999996</v>
      </c>
      <c r="D235" s="256"/>
      <c r="E235" s="256" t="s">
        <v>53</v>
      </c>
      <c r="F235" s="256" t="s">
        <v>30</v>
      </c>
      <c r="G235" s="256"/>
      <c r="H235" s="264"/>
      <c r="I235" s="264"/>
      <c r="J235" s="268" t="s">
        <v>35</v>
      </c>
      <c r="K235" s="256"/>
      <c r="L235" s="264" t="s">
        <v>41</v>
      </c>
      <c r="M235" s="256"/>
      <c r="N235" s="256"/>
      <c r="O235" s="264" t="s">
        <v>20</v>
      </c>
      <c r="P235" s="256"/>
      <c r="Q235" s="256"/>
      <c r="R235" s="256" t="s">
        <v>46</v>
      </c>
      <c r="S235" s="256"/>
      <c r="T235" s="256"/>
      <c r="U235" s="256" t="s">
        <v>49</v>
      </c>
      <c r="V235" s="256" t="s">
        <v>49</v>
      </c>
      <c r="W235" s="265" t="s">
        <v>50</v>
      </c>
      <c r="AB235" s="180"/>
      <c r="AE235" s="35"/>
      <c r="AF235" s="35"/>
      <c r="AG235" s="35"/>
      <c r="AH235" s="167"/>
      <c r="AI235" s="35"/>
      <c r="AJ235" s="167"/>
      <c r="AK235" s="167"/>
      <c r="AL235" s="35"/>
      <c r="AM235" s="174"/>
      <c r="AN235" s="167"/>
      <c r="AO235" s="35"/>
      <c r="AP235" s="35"/>
      <c r="AQ235" s="167"/>
      <c r="AR235" s="174"/>
      <c r="AS235" s="35"/>
      <c r="AT235" s="35"/>
      <c r="AU235" s="35"/>
      <c r="AV235" s="35"/>
      <c r="AX235" s="35"/>
      <c r="AY235" s="197"/>
      <c r="AZ235" s="6"/>
      <c r="BA235" s="6"/>
      <c r="BB235" s="6"/>
      <c r="BD235" s="35"/>
      <c r="BE235" s="6"/>
    </row>
    <row r="236" spans="1:57" ht="14.25" customHeight="1" x14ac:dyDescent="0.25">
      <c r="A236" s="6">
        <f t="shared" si="13"/>
        <v>23</v>
      </c>
      <c r="B236" s="255" t="str">
        <f t="shared" si="14"/>
        <v xml:space="preserve">AC T 16 S </v>
      </c>
      <c r="C236" s="256">
        <v>4.4000000000000004</v>
      </c>
      <c r="D236" s="256"/>
      <c r="E236" s="256" t="s">
        <v>53</v>
      </c>
      <c r="F236" s="256" t="s">
        <v>124</v>
      </c>
      <c r="G236" s="256"/>
      <c r="H236" s="264"/>
      <c r="I236" s="264"/>
      <c r="J236" s="268" t="s">
        <v>35</v>
      </c>
      <c r="K236" s="256"/>
      <c r="L236" s="266" t="s">
        <v>112</v>
      </c>
      <c r="M236" s="256"/>
      <c r="N236" s="256"/>
      <c r="O236" s="266" t="s">
        <v>112</v>
      </c>
      <c r="P236" s="256"/>
      <c r="Q236" s="256"/>
      <c r="R236" s="266" t="s">
        <v>112</v>
      </c>
      <c r="S236" s="256"/>
      <c r="T236" s="256"/>
      <c r="U236" s="264" t="s">
        <v>22</v>
      </c>
      <c r="V236" s="256" t="s">
        <v>49</v>
      </c>
      <c r="W236" s="265" t="s">
        <v>50</v>
      </c>
      <c r="AB236" s="180"/>
      <c r="AE236" s="35"/>
      <c r="AF236" s="35"/>
      <c r="AG236" s="35"/>
      <c r="AH236" s="167"/>
      <c r="AI236" s="35"/>
      <c r="AJ236" s="167"/>
      <c r="AK236" s="167"/>
      <c r="AL236" s="35"/>
      <c r="AM236" s="174"/>
      <c r="AN236" s="167"/>
      <c r="AO236" s="35"/>
      <c r="AP236" s="35"/>
      <c r="AQ236" s="167"/>
      <c r="AR236" s="174"/>
      <c r="AS236" s="35"/>
      <c r="AT236" s="35"/>
      <c r="AU236" s="35"/>
      <c r="AV236" s="35"/>
      <c r="AX236" s="35"/>
      <c r="AY236" s="197"/>
      <c r="AZ236" s="6"/>
      <c r="BA236" s="6"/>
      <c r="BB236" s="6"/>
      <c r="BD236" s="35"/>
      <c r="BE236" s="6"/>
    </row>
    <row r="237" spans="1:57" ht="15.5" x14ac:dyDescent="0.25">
      <c r="A237" s="6">
        <f t="shared" si="13"/>
        <v>24</v>
      </c>
      <c r="B237" s="255" t="str">
        <f t="shared" si="14"/>
        <v>AC T 22 L</v>
      </c>
      <c r="C237" s="268">
        <v>4.4000000000000004</v>
      </c>
      <c r="D237" s="256"/>
      <c r="E237" s="268" t="s">
        <v>53</v>
      </c>
      <c r="F237" s="256" t="s">
        <v>30</v>
      </c>
      <c r="G237" s="256"/>
      <c r="H237" s="264"/>
      <c r="I237" s="264"/>
      <c r="J237" s="268" t="s">
        <v>36</v>
      </c>
      <c r="K237" s="256"/>
      <c r="L237" s="264" t="s">
        <v>19</v>
      </c>
      <c r="M237" s="256"/>
      <c r="N237" s="256"/>
      <c r="O237" s="264" t="s">
        <v>42</v>
      </c>
      <c r="P237" s="256"/>
      <c r="Q237" s="256"/>
      <c r="R237" s="256" t="s">
        <v>45</v>
      </c>
      <c r="S237" s="256"/>
      <c r="T237" s="256"/>
      <c r="U237" s="256" t="s">
        <v>49</v>
      </c>
      <c r="V237" s="266" t="s">
        <v>112</v>
      </c>
      <c r="W237" s="265" t="s">
        <v>50</v>
      </c>
      <c r="AB237" s="180"/>
      <c r="AE237" s="172"/>
      <c r="AF237" s="35"/>
      <c r="AG237" s="35"/>
      <c r="AH237" s="35"/>
      <c r="AI237" s="35"/>
      <c r="AJ237" s="167"/>
      <c r="AK237" s="167"/>
      <c r="AL237" s="35"/>
      <c r="AM237" s="174"/>
      <c r="AN237" s="196"/>
      <c r="AO237" s="35"/>
      <c r="AP237" s="35"/>
      <c r="AQ237" s="167"/>
      <c r="AR237" s="174"/>
      <c r="AS237" s="35"/>
      <c r="AT237" s="196"/>
      <c r="AU237" s="35"/>
      <c r="AV237" s="35"/>
      <c r="AX237" s="167"/>
      <c r="AY237" s="197"/>
      <c r="AZ237" s="6"/>
      <c r="BA237" s="6"/>
      <c r="BB237" s="6"/>
      <c r="BD237" s="35"/>
      <c r="BE237" s="6"/>
    </row>
    <row r="238" spans="1:57" ht="15.5" x14ac:dyDescent="0.25">
      <c r="A238" s="6">
        <f t="shared" si="13"/>
        <v>25</v>
      </c>
      <c r="B238" s="269" t="str">
        <f t="shared" si="14"/>
        <v xml:space="preserve">AC T 22 N </v>
      </c>
      <c r="C238" s="268">
        <v>4.2</v>
      </c>
      <c r="D238" s="268"/>
      <c r="E238" s="268" t="s">
        <v>53</v>
      </c>
      <c r="F238" s="256" t="s">
        <v>30</v>
      </c>
      <c r="G238" s="268"/>
      <c r="H238" s="264"/>
      <c r="I238" s="264"/>
      <c r="J238" s="268" t="s">
        <v>35</v>
      </c>
      <c r="K238" s="268"/>
      <c r="L238" s="264" t="s">
        <v>41</v>
      </c>
      <c r="M238" s="256"/>
      <c r="N238" s="256"/>
      <c r="O238" s="264" t="s">
        <v>20</v>
      </c>
      <c r="P238" s="256"/>
      <c r="Q238" s="256"/>
      <c r="R238" s="256" t="s">
        <v>46</v>
      </c>
      <c r="S238" s="256"/>
      <c r="T238" s="268"/>
      <c r="U238" s="268" t="s">
        <v>49</v>
      </c>
      <c r="V238" s="266" t="s">
        <v>112</v>
      </c>
      <c r="W238" s="265" t="s">
        <v>50</v>
      </c>
      <c r="AB238" s="180"/>
      <c r="AE238" s="172"/>
      <c r="AF238" s="35"/>
      <c r="AG238" s="35"/>
      <c r="AH238" s="35"/>
      <c r="AI238" s="35"/>
      <c r="AJ238" s="167"/>
      <c r="AK238" s="167"/>
      <c r="AL238" s="35"/>
      <c r="AM238" s="174"/>
      <c r="AN238" s="196"/>
      <c r="AO238" s="35"/>
      <c r="AP238" s="35"/>
      <c r="AQ238" s="167"/>
      <c r="AR238" s="174"/>
      <c r="AS238" s="35"/>
      <c r="AT238" s="196"/>
      <c r="AU238" s="35"/>
      <c r="AV238" s="35"/>
      <c r="AX238" s="167"/>
      <c r="AY238" s="197"/>
      <c r="AZ238" s="6"/>
      <c r="BA238" s="6"/>
      <c r="BB238" s="6"/>
      <c r="BD238" s="35"/>
      <c r="BE238" s="6"/>
    </row>
    <row r="239" spans="1:57" ht="15.5" x14ac:dyDescent="0.25">
      <c r="A239" s="6">
        <f t="shared" si="13"/>
        <v>26</v>
      </c>
      <c r="B239" s="255" t="str">
        <f t="shared" si="14"/>
        <v xml:space="preserve">AC T 22 S </v>
      </c>
      <c r="C239" s="267">
        <v>4</v>
      </c>
      <c r="D239" s="256"/>
      <c r="E239" s="268" t="s">
        <v>53</v>
      </c>
      <c r="F239" s="256" t="s">
        <v>124</v>
      </c>
      <c r="G239" s="256"/>
      <c r="H239" s="264"/>
      <c r="I239" s="264"/>
      <c r="J239" s="268" t="s">
        <v>37</v>
      </c>
      <c r="K239" s="256"/>
      <c r="L239" s="266" t="s">
        <v>112</v>
      </c>
      <c r="M239" s="256"/>
      <c r="N239" s="256"/>
      <c r="O239" s="266" t="s">
        <v>112</v>
      </c>
      <c r="P239" s="256"/>
      <c r="Q239" s="256"/>
      <c r="R239" s="266" t="s">
        <v>112</v>
      </c>
      <c r="S239" s="256"/>
      <c r="T239" s="256"/>
      <c r="U239" s="264" t="s">
        <v>22</v>
      </c>
      <c r="V239" s="256" t="s">
        <v>49</v>
      </c>
      <c r="W239" s="265" t="s">
        <v>50</v>
      </c>
      <c r="AB239" s="180"/>
      <c r="AE239" s="35"/>
      <c r="AF239" s="35"/>
      <c r="AG239" s="35"/>
      <c r="AH239" s="35"/>
      <c r="AI239" s="35"/>
      <c r="AJ239" s="167"/>
      <c r="AK239" s="167"/>
      <c r="AL239" s="35"/>
      <c r="AM239" s="174"/>
      <c r="AN239" s="167"/>
      <c r="AO239" s="35"/>
      <c r="AP239" s="35"/>
      <c r="AQ239" s="167"/>
      <c r="AR239" s="174"/>
      <c r="AS239" s="35"/>
      <c r="AT239" s="35"/>
      <c r="AU239" s="35"/>
      <c r="AV239" s="35"/>
      <c r="AX239" s="35"/>
      <c r="AY239" s="197"/>
      <c r="AZ239" s="6"/>
      <c r="BA239" s="6"/>
      <c r="BB239" s="6"/>
      <c r="BD239" s="35"/>
      <c r="BE239" s="6"/>
    </row>
    <row r="240" spans="1:57" ht="15.5" x14ac:dyDescent="0.25">
      <c r="A240" s="6">
        <f t="shared" si="13"/>
        <v>27</v>
      </c>
      <c r="B240" s="255" t="str">
        <f t="shared" si="14"/>
        <v xml:space="preserve">AC T 22 H </v>
      </c>
      <c r="C240" s="267">
        <v>4</v>
      </c>
      <c r="D240" s="256"/>
      <c r="E240" s="268" t="s">
        <v>53</v>
      </c>
      <c r="F240" s="256" t="s">
        <v>124</v>
      </c>
      <c r="G240" s="256"/>
      <c r="H240" s="264"/>
      <c r="I240" s="264"/>
      <c r="J240" s="268" t="s">
        <v>37</v>
      </c>
      <c r="K240" s="256"/>
      <c r="L240" s="266" t="s">
        <v>112</v>
      </c>
      <c r="M240" s="256"/>
      <c r="N240" s="256"/>
      <c r="O240" s="266" t="s">
        <v>112</v>
      </c>
      <c r="P240" s="256"/>
      <c r="Q240" s="256"/>
      <c r="R240" s="266" t="s">
        <v>112</v>
      </c>
      <c r="S240" s="256"/>
      <c r="T240" s="256"/>
      <c r="U240" s="256" t="s">
        <v>49</v>
      </c>
      <c r="V240" s="264" t="s">
        <v>48</v>
      </c>
      <c r="W240" s="265" t="s">
        <v>50</v>
      </c>
      <c r="AB240" s="180"/>
      <c r="AE240" s="174"/>
      <c r="AF240" s="35"/>
      <c r="AG240" s="35"/>
      <c r="AH240" s="35"/>
      <c r="AI240" s="35"/>
      <c r="AJ240" s="167"/>
      <c r="AK240" s="167"/>
      <c r="AL240" s="35"/>
      <c r="AM240" s="174"/>
      <c r="AN240" s="167"/>
      <c r="AO240" s="35"/>
      <c r="AP240" s="35"/>
      <c r="AQ240" s="167"/>
      <c r="AR240" s="174"/>
      <c r="AS240" s="35"/>
      <c r="AT240" s="35"/>
      <c r="AU240" s="35"/>
      <c r="AV240" s="35"/>
      <c r="AX240" s="35"/>
      <c r="AY240" s="197"/>
      <c r="AZ240" s="6"/>
      <c r="BA240" s="6"/>
      <c r="BB240" s="6"/>
      <c r="BD240" s="35"/>
      <c r="BE240" s="6"/>
    </row>
    <row r="241" spans="1:57" ht="15.5" x14ac:dyDescent="0.25">
      <c r="A241" s="6">
        <f t="shared" si="13"/>
        <v>28</v>
      </c>
      <c r="B241" s="255" t="str">
        <f t="shared" si="14"/>
        <v>AC T 32 S</v>
      </c>
      <c r="C241" s="256">
        <v>3.6</v>
      </c>
      <c r="D241" s="256"/>
      <c r="E241" s="256" t="s">
        <v>53</v>
      </c>
      <c r="F241" s="256" t="s">
        <v>124</v>
      </c>
      <c r="G241" s="256"/>
      <c r="H241" s="264"/>
      <c r="I241" s="264"/>
      <c r="J241" s="268" t="s">
        <v>37</v>
      </c>
      <c r="K241" s="256"/>
      <c r="L241" s="266" t="s">
        <v>112</v>
      </c>
      <c r="M241" s="256"/>
      <c r="N241" s="256"/>
      <c r="O241" s="266" t="s">
        <v>112</v>
      </c>
      <c r="P241" s="256"/>
      <c r="Q241" s="256"/>
      <c r="R241" s="266" t="s">
        <v>112</v>
      </c>
      <c r="S241" s="256"/>
      <c r="T241" s="256"/>
      <c r="U241" s="264" t="s">
        <v>22</v>
      </c>
      <c r="V241" s="256" t="s">
        <v>49</v>
      </c>
      <c r="W241" s="265" t="s">
        <v>50</v>
      </c>
      <c r="AE241" s="35"/>
      <c r="AF241" s="35"/>
      <c r="AG241" s="35"/>
      <c r="AH241" s="35"/>
      <c r="AI241" s="35"/>
      <c r="AJ241" s="167"/>
      <c r="AK241" s="167"/>
      <c r="AL241" s="35"/>
      <c r="AM241" s="174"/>
      <c r="AN241" s="167"/>
      <c r="AO241" s="35"/>
      <c r="AP241" s="35"/>
      <c r="AQ241" s="167"/>
      <c r="AR241" s="174"/>
      <c r="AS241" s="35"/>
      <c r="AT241" s="35"/>
      <c r="AU241" s="35"/>
      <c r="AV241" s="35"/>
      <c r="AX241" s="35"/>
      <c r="AY241" s="197"/>
      <c r="AZ241" s="6"/>
      <c r="BA241" s="6"/>
      <c r="BB241" s="6"/>
      <c r="BD241" s="35"/>
      <c r="BE241" s="6"/>
    </row>
    <row r="242" spans="1:57" ht="15.5" x14ac:dyDescent="0.25">
      <c r="A242" s="6">
        <f t="shared" si="13"/>
        <v>29</v>
      </c>
      <c r="B242" s="255" t="str">
        <f t="shared" si="14"/>
        <v>AC T 32 H</v>
      </c>
      <c r="C242" s="256">
        <v>3.6</v>
      </c>
      <c r="D242" s="256"/>
      <c r="E242" s="256" t="s">
        <v>53</v>
      </c>
      <c r="F242" s="256" t="s">
        <v>124</v>
      </c>
      <c r="G242" s="256"/>
      <c r="H242" s="264"/>
      <c r="I242" s="264"/>
      <c r="J242" s="268" t="s">
        <v>37</v>
      </c>
      <c r="K242" s="256"/>
      <c r="L242" s="266" t="s">
        <v>112</v>
      </c>
      <c r="M242" s="256"/>
      <c r="N242" s="256"/>
      <c r="O242" s="266" t="s">
        <v>112</v>
      </c>
      <c r="P242" s="256"/>
      <c r="Q242" s="256"/>
      <c r="R242" s="266" t="s">
        <v>112</v>
      </c>
      <c r="S242" s="256"/>
      <c r="T242" s="256"/>
      <c r="U242" s="256" t="s">
        <v>49</v>
      </c>
      <c r="V242" s="264" t="s">
        <v>48</v>
      </c>
      <c r="W242" s="265" t="s">
        <v>50</v>
      </c>
      <c r="AE242" s="35"/>
      <c r="AF242" s="35"/>
      <c r="AG242" s="35"/>
      <c r="AH242" s="35"/>
      <c r="AI242" s="35"/>
      <c r="AJ242" s="167"/>
      <c r="AK242" s="167"/>
      <c r="AL242" s="35"/>
      <c r="AM242" s="174"/>
      <c r="AN242" s="167"/>
      <c r="AO242" s="35"/>
      <c r="AP242" s="35"/>
      <c r="AQ242" s="167"/>
      <c r="AR242" s="174"/>
      <c r="AS242" s="35"/>
      <c r="AT242" s="35"/>
      <c r="AU242" s="35"/>
      <c r="AV242" s="35"/>
      <c r="AX242" s="35"/>
      <c r="AY242" s="197"/>
      <c r="AZ242" s="6"/>
      <c r="BA242" s="6"/>
      <c r="BB242" s="6"/>
      <c r="BD242" s="35"/>
      <c r="BE242" s="6"/>
    </row>
    <row r="243" spans="1:57" ht="15.5" x14ac:dyDescent="0.25">
      <c r="A243" s="6">
        <f t="shared" si="13"/>
        <v>30</v>
      </c>
      <c r="B243" s="255" t="str">
        <f t="shared" si="14"/>
        <v>AC EME 22 C1</v>
      </c>
      <c r="C243" s="256">
        <v>4.5999999999999996</v>
      </c>
      <c r="D243" s="256"/>
      <c r="E243" s="256" t="s">
        <v>53</v>
      </c>
      <c r="F243" s="268" t="s">
        <v>193</v>
      </c>
      <c r="G243" s="256"/>
      <c r="H243" s="264"/>
      <c r="I243" s="264"/>
      <c r="J243" s="256" t="s">
        <v>35</v>
      </c>
      <c r="K243" s="256"/>
      <c r="L243" s="266" t="s">
        <v>112</v>
      </c>
      <c r="M243" s="256"/>
      <c r="N243" s="256"/>
      <c r="O243" s="266" t="s">
        <v>112</v>
      </c>
      <c r="P243" s="256"/>
      <c r="Q243" s="256"/>
      <c r="R243" s="266" t="s">
        <v>112</v>
      </c>
      <c r="S243" s="256"/>
      <c r="T243" s="256"/>
      <c r="U243" s="266" t="s">
        <v>112</v>
      </c>
      <c r="V243" s="264" t="s">
        <v>197</v>
      </c>
      <c r="W243" s="265" t="s">
        <v>50</v>
      </c>
      <c r="AE243" s="35"/>
      <c r="AF243" s="35"/>
      <c r="AG243" s="35"/>
      <c r="AH243" s="35"/>
      <c r="AI243" s="35"/>
      <c r="AJ243" s="167"/>
      <c r="AK243" s="167"/>
      <c r="AL243" s="35"/>
      <c r="AM243" s="174"/>
      <c r="AN243" s="167"/>
      <c r="AO243" s="35"/>
      <c r="AP243" s="35"/>
      <c r="AQ243" s="167"/>
      <c r="AR243" s="174"/>
      <c r="AS243" s="35"/>
      <c r="AT243" s="35"/>
      <c r="AU243" s="35"/>
      <c r="AV243" s="35"/>
      <c r="AX243" s="35"/>
      <c r="AY243" s="197"/>
      <c r="AZ243" s="6"/>
      <c r="BA243" s="6"/>
      <c r="BB243" s="6"/>
      <c r="BD243" s="35"/>
      <c r="BE243" s="6"/>
    </row>
    <row r="244" spans="1:57" ht="15.5" x14ac:dyDescent="0.25">
      <c r="A244" s="6">
        <f t="shared" si="13"/>
        <v>31</v>
      </c>
      <c r="B244" s="255" t="str">
        <f t="shared" si="14"/>
        <v>AC EME 22 C2</v>
      </c>
      <c r="C244" s="256">
        <v>5.2</v>
      </c>
      <c r="D244" s="256"/>
      <c r="E244" s="256" t="s">
        <v>53</v>
      </c>
      <c r="F244" s="268" t="s">
        <v>193</v>
      </c>
      <c r="G244" s="256"/>
      <c r="H244" s="264"/>
      <c r="I244" s="264"/>
      <c r="J244" s="268" t="s">
        <v>195</v>
      </c>
      <c r="K244" s="256"/>
      <c r="L244" s="266" t="s">
        <v>112</v>
      </c>
      <c r="M244" s="256"/>
      <c r="N244" s="256"/>
      <c r="O244" s="266" t="s">
        <v>112</v>
      </c>
      <c r="P244" s="256"/>
      <c r="Q244" s="256"/>
      <c r="R244" s="266" t="s">
        <v>112</v>
      </c>
      <c r="S244" s="256"/>
      <c r="T244" s="256"/>
      <c r="U244" s="266" t="s">
        <v>112</v>
      </c>
      <c r="V244" s="264" t="s">
        <v>48</v>
      </c>
      <c r="W244" s="265" t="s">
        <v>50</v>
      </c>
      <c r="AE244" s="35"/>
      <c r="AF244" s="35"/>
      <c r="AG244" s="35"/>
      <c r="AH244" s="35"/>
      <c r="AI244" s="35"/>
      <c r="AJ244" s="167"/>
      <c r="AK244" s="167"/>
      <c r="AL244" s="35"/>
      <c r="AM244" s="174"/>
      <c r="AN244" s="196"/>
      <c r="AO244" s="35"/>
      <c r="AP244" s="35"/>
      <c r="AQ244" s="167"/>
      <c r="AR244" s="174"/>
      <c r="AS244" s="35"/>
      <c r="AT244" s="196"/>
      <c r="AU244" s="35"/>
      <c r="AV244" s="35"/>
      <c r="AW244" s="167"/>
      <c r="AX244" s="35"/>
      <c r="AY244" s="197"/>
      <c r="AZ244" s="6"/>
      <c r="BA244" s="6"/>
      <c r="BB244" s="6"/>
      <c r="BD244" s="35"/>
      <c r="BE244" s="6"/>
    </row>
    <row r="245" spans="1:57" ht="15.5" x14ac:dyDescent="0.25">
      <c r="A245" s="6">
        <f t="shared" si="13"/>
        <v>32</v>
      </c>
      <c r="B245" s="255" t="str">
        <f t="shared" si="14"/>
        <v>ACF 22</v>
      </c>
      <c r="C245" s="256">
        <v>3.8</v>
      </c>
      <c r="D245" s="256"/>
      <c r="E245" s="256" t="s">
        <v>53</v>
      </c>
      <c r="F245" s="268" t="s">
        <v>194</v>
      </c>
      <c r="G245" s="256"/>
      <c r="H245" s="264"/>
      <c r="I245" s="264"/>
      <c r="J245" s="268" t="s">
        <v>38</v>
      </c>
      <c r="K245" s="256"/>
      <c r="L245" s="264" t="s">
        <v>41</v>
      </c>
      <c r="M245" s="256"/>
      <c r="N245" s="256"/>
      <c r="O245" s="264" t="s">
        <v>42</v>
      </c>
      <c r="P245" s="256"/>
      <c r="Q245" s="256"/>
      <c r="R245" s="256" t="s">
        <v>46</v>
      </c>
      <c r="S245" s="256"/>
      <c r="T245" s="256"/>
      <c r="U245" s="266" t="s">
        <v>112</v>
      </c>
      <c r="V245" s="266" t="s">
        <v>112</v>
      </c>
      <c r="W245" s="265" t="s">
        <v>50</v>
      </c>
      <c r="AE245" s="35"/>
      <c r="AF245" s="35"/>
      <c r="AG245" s="35"/>
      <c r="AH245" s="35"/>
      <c r="AI245" s="35"/>
      <c r="AJ245" s="167"/>
      <c r="AK245" s="167"/>
      <c r="AL245" s="35"/>
      <c r="AM245" s="174"/>
      <c r="AN245" s="196"/>
      <c r="AO245" s="35"/>
      <c r="AP245" s="35"/>
      <c r="AQ245" s="167"/>
      <c r="AR245" s="174"/>
      <c r="AS245" s="35"/>
      <c r="AT245" s="196"/>
      <c r="AU245" s="35"/>
      <c r="AV245" s="35"/>
      <c r="AW245" s="167"/>
      <c r="AX245" s="35"/>
      <c r="AY245" s="197"/>
      <c r="AZ245" s="6"/>
      <c r="BA245" s="6"/>
      <c r="BB245" s="6"/>
      <c r="BD245" s="35"/>
      <c r="BE245" s="6"/>
    </row>
    <row r="246" spans="1:57" ht="15.5" x14ac:dyDescent="0.25">
      <c r="A246" s="6">
        <f t="shared" si="13"/>
        <v>33</v>
      </c>
      <c r="B246" s="255" t="str">
        <f t="shared" si="14"/>
        <v>ACF 32</v>
      </c>
      <c r="C246" s="268">
        <v>3.4</v>
      </c>
      <c r="D246" s="256"/>
      <c r="E246" s="256" t="s">
        <v>53</v>
      </c>
      <c r="F246" s="268" t="s">
        <v>194</v>
      </c>
      <c r="G246" s="256"/>
      <c r="H246" s="264"/>
      <c r="I246" s="264"/>
      <c r="J246" s="268" t="s">
        <v>38</v>
      </c>
      <c r="K246" s="256"/>
      <c r="L246" s="264" t="s">
        <v>41</v>
      </c>
      <c r="M246" s="256"/>
      <c r="N246" s="256"/>
      <c r="O246" s="264" t="s">
        <v>42</v>
      </c>
      <c r="P246" s="256"/>
      <c r="Q246" s="256"/>
      <c r="R246" s="256" t="s">
        <v>46</v>
      </c>
      <c r="S246" s="256"/>
      <c r="T246" s="256"/>
      <c r="U246" s="256" t="s">
        <v>49</v>
      </c>
      <c r="V246" s="266" t="s">
        <v>112</v>
      </c>
      <c r="W246" s="265" t="s">
        <v>50</v>
      </c>
      <c r="AE246" s="172"/>
      <c r="AF246" s="35"/>
      <c r="AG246" s="35"/>
      <c r="AH246" s="35"/>
      <c r="AI246" s="35"/>
      <c r="AJ246" s="167"/>
      <c r="AK246" s="167"/>
      <c r="AL246" s="35"/>
      <c r="AM246" s="174"/>
      <c r="AN246" s="196"/>
      <c r="AO246" s="35"/>
      <c r="AP246" s="35"/>
      <c r="AQ246" s="167"/>
      <c r="AR246" s="174"/>
      <c r="AS246" s="35"/>
      <c r="AT246" s="196"/>
      <c r="AU246" s="35"/>
      <c r="AV246" s="35"/>
      <c r="AX246" s="167"/>
      <c r="AY246" s="197"/>
      <c r="AZ246" s="6"/>
      <c r="BA246" s="6"/>
      <c r="BB246" s="6"/>
      <c r="BD246" s="35"/>
      <c r="BE246" s="6"/>
    </row>
    <row r="247" spans="1:57" ht="15.5" x14ac:dyDescent="0.25">
      <c r="A247" s="6">
        <f t="shared" si="13"/>
        <v>34</v>
      </c>
      <c r="B247" s="255" t="str">
        <f t="shared" si="14"/>
        <v>AC RAIL 16</v>
      </c>
      <c r="C247" s="256">
        <v>5.4</v>
      </c>
      <c r="D247" s="256"/>
      <c r="E247" s="256" t="s">
        <v>53</v>
      </c>
      <c r="F247" s="256" t="s">
        <v>30</v>
      </c>
      <c r="G247" s="256"/>
      <c r="H247" s="264"/>
      <c r="I247" s="264"/>
      <c r="J247" s="268" t="s">
        <v>196</v>
      </c>
      <c r="K247" s="256"/>
      <c r="L247" s="266" t="s">
        <v>112</v>
      </c>
      <c r="M247" s="256"/>
      <c r="N247" s="256"/>
      <c r="O247" s="264" t="s">
        <v>42</v>
      </c>
      <c r="P247" s="256"/>
      <c r="Q247" s="256"/>
      <c r="R247" s="268" t="s">
        <v>224</v>
      </c>
      <c r="S247" s="256"/>
      <c r="T247" s="256"/>
      <c r="U247" s="256" t="s">
        <v>49</v>
      </c>
      <c r="V247" s="256" t="s">
        <v>49</v>
      </c>
      <c r="W247" s="265" t="s">
        <v>50</v>
      </c>
      <c r="AE247" s="35"/>
      <c r="AF247" s="35"/>
      <c r="AG247" s="35"/>
      <c r="AH247" s="35"/>
      <c r="AI247" s="35"/>
      <c r="AJ247" s="167"/>
      <c r="AK247" s="167"/>
      <c r="AL247" s="35"/>
      <c r="AM247" s="174"/>
      <c r="AN247" s="167"/>
      <c r="AO247" s="35"/>
      <c r="AP247" s="35"/>
      <c r="AQ247" s="167"/>
      <c r="AR247" s="174"/>
      <c r="AS247" s="35"/>
      <c r="AT247" s="35"/>
      <c r="AU247" s="35"/>
      <c r="AV247" s="35"/>
      <c r="AX247" s="35"/>
      <c r="AY247" s="197"/>
      <c r="AZ247" s="6"/>
      <c r="BA247" s="6"/>
      <c r="BB247" s="6"/>
      <c r="BD247" s="35"/>
      <c r="BE247" s="6"/>
    </row>
    <row r="248" spans="1:57" ht="15.5" x14ac:dyDescent="0.25">
      <c r="A248" s="6">
        <f t="shared" si="13"/>
        <v>35</v>
      </c>
      <c r="B248" s="255" t="str">
        <f t="shared" si="14"/>
        <v>AC RAIL 22</v>
      </c>
      <c r="C248" s="256">
        <v>5.2</v>
      </c>
      <c r="D248" s="256"/>
      <c r="E248" s="256" t="s">
        <v>53</v>
      </c>
      <c r="F248" s="256" t="s">
        <v>30</v>
      </c>
      <c r="G248" s="256"/>
      <c r="H248" s="264"/>
      <c r="I248" s="264"/>
      <c r="J248" s="268" t="s">
        <v>196</v>
      </c>
      <c r="K248" s="256"/>
      <c r="L248" s="266" t="s">
        <v>112</v>
      </c>
      <c r="M248" s="256"/>
      <c r="N248" s="256"/>
      <c r="O248" s="264" t="s">
        <v>42</v>
      </c>
      <c r="P248" s="256"/>
      <c r="Q248" s="256"/>
      <c r="R248" s="268" t="s">
        <v>224</v>
      </c>
      <c r="S248" s="256"/>
      <c r="T248" s="256"/>
      <c r="U248" s="256" t="s">
        <v>49</v>
      </c>
      <c r="V248" s="256" t="s">
        <v>49</v>
      </c>
      <c r="W248" s="265" t="s">
        <v>50</v>
      </c>
      <c r="AE248" s="35"/>
      <c r="AF248" s="35"/>
      <c r="AG248" s="35"/>
      <c r="AH248" s="35"/>
      <c r="AI248" s="35"/>
      <c r="AJ248" s="167"/>
      <c r="AK248" s="167"/>
      <c r="AL248" s="35"/>
      <c r="AM248" s="174"/>
      <c r="AN248" s="167"/>
      <c r="AO248" s="35"/>
      <c r="AP248" s="35"/>
      <c r="AQ248" s="167"/>
      <c r="AR248" s="174"/>
      <c r="AS248" s="35"/>
      <c r="AT248" s="35"/>
      <c r="AU248" s="35"/>
      <c r="AV248" s="35"/>
      <c r="AX248" s="35"/>
      <c r="AY248" s="197"/>
      <c r="AZ248" s="6"/>
      <c r="BA248" s="6"/>
      <c r="BB248" s="6"/>
      <c r="BD248" s="35"/>
      <c r="BE248" s="6"/>
    </row>
    <row r="249" spans="1:57" ht="15.5" x14ac:dyDescent="0.25">
      <c r="A249" s="6">
        <f t="shared" si="13"/>
        <v>36</v>
      </c>
      <c r="B249" s="255" t="str">
        <f t="shared" si="14"/>
        <v xml:space="preserve">SMA 8 </v>
      </c>
      <c r="C249" s="256">
        <v>6.4</v>
      </c>
      <c r="D249" s="256"/>
      <c r="E249" s="268" t="s">
        <v>25</v>
      </c>
      <c r="F249" s="268" t="s">
        <v>28</v>
      </c>
      <c r="G249" s="256"/>
      <c r="H249" s="264"/>
      <c r="I249" s="264"/>
      <c r="J249" s="268" t="s">
        <v>36</v>
      </c>
      <c r="K249" s="256"/>
      <c r="L249" s="266" t="s">
        <v>112</v>
      </c>
      <c r="M249" s="256"/>
      <c r="N249" s="256"/>
      <c r="O249" s="266" t="s">
        <v>112</v>
      </c>
      <c r="P249" s="256"/>
      <c r="Q249" s="256"/>
      <c r="R249" s="266" t="s">
        <v>112</v>
      </c>
      <c r="S249" s="256"/>
      <c r="T249" s="256"/>
      <c r="U249" s="256" t="s">
        <v>49</v>
      </c>
      <c r="V249" s="264" t="s">
        <v>22</v>
      </c>
      <c r="W249" s="265" t="s">
        <v>50</v>
      </c>
      <c r="AE249" s="35"/>
      <c r="AF249" s="35"/>
      <c r="AG249" s="35"/>
      <c r="AH249" s="35"/>
      <c r="AI249" s="35"/>
      <c r="AJ249" s="167"/>
      <c r="AK249" s="167"/>
      <c r="AL249" s="35"/>
      <c r="AM249" s="174"/>
      <c r="AN249" s="167"/>
      <c r="AO249" s="35"/>
      <c r="AP249" s="35"/>
      <c r="AQ249" s="167"/>
      <c r="AR249" s="174"/>
      <c r="AS249" s="35"/>
      <c r="AT249" s="35"/>
      <c r="AU249" s="35"/>
      <c r="AV249" s="35"/>
      <c r="AX249" s="35"/>
      <c r="AY249" s="197"/>
      <c r="AZ249" s="6"/>
      <c r="BA249" s="6"/>
      <c r="BB249" s="6"/>
      <c r="BD249" s="35"/>
      <c r="BE249" s="6"/>
    </row>
    <row r="250" spans="1:57" ht="15.5" x14ac:dyDescent="0.25">
      <c r="A250" s="6">
        <f t="shared" si="13"/>
        <v>37</v>
      </c>
      <c r="B250" s="255" t="str">
        <f t="shared" si="14"/>
        <v xml:space="preserve">SMA 11 </v>
      </c>
      <c r="C250" s="267">
        <v>6.2</v>
      </c>
      <c r="D250" s="256"/>
      <c r="E250" s="268" t="s">
        <v>25</v>
      </c>
      <c r="F250" s="268" t="s">
        <v>28</v>
      </c>
      <c r="G250" s="256"/>
      <c r="H250" s="264"/>
      <c r="I250" s="264"/>
      <c r="J250" s="268" t="s">
        <v>36</v>
      </c>
      <c r="K250" s="256"/>
      <c r="L250" s="266" t="s">
        <v>112</v>
      </c>
      <c r="M250" s="256"/>
      <c r="N250" s="256"/>
      <c r="O250" s="266" t="s">
        <v>112</v>
      </c>
      <c r="P250" s="256"/>
      <c r="Q250" s="256"/>
      <c r="R250" s="266" t="s">
        <v>112</v>
      </c>
      <c r="S250" s="256"/>
      <c r="T250" s="256"/>
      <c r="U250" s="266" t="s">
        <v>112</v>
      </c>
      <c r="V250" s="264" t="s">
        <v>22</v>
      </c>
      <c r="W250" s="265" t="s">
        <v>50</v>
      </c>
      <c r="AE250" s="174"/>
      <c r="AF250" s="35"/>
      <c r="AG250" s="35"/>
      <c r="AH250" s="35"/>
      <c r="AI250" s="35"/>
      <c r="AJ250" s="167"/>
      <c r="AK250" s="167"/>
      <c r="AL250" s="35"/>
      <c r="AM250" s="174"/>
      <c r="AN250" s="196"/>
      <c r="AO250" s="35"/>
      <c r="AP250" s="35"/>
      <c r="AQ250" s="167"/>
      <c r="AR250" s="174"/>
      <c r="AS250" s="35"/>
      <c r="AT250" s="196"/>
      <c r="AU250" s="35"/>
      <c r="AV250" s="35"/>
      <c r="AW250" s="167"/>
      <c r="AX250" s="35"/>
      <c r="AY250" s="197"/>
      <c r="AZ250" s="6"/>
      <c r="BA250" s="6"/>
      <c r="BB250" s="6"/>
      <c r="BD250" s="35"/>
      <c r="BE250" s="6"/>
    </row>
    <row r="251" spans="1:57" ht="15.5" x14ac:dyDescent="0.25">
      <c r="A251" s="6">
        <f t="shared" si="13"/>
        <v>38</v>
      </c>
      <c r="B251" s="255" t="str">
        <f t="shared" si="14"/>
        <v>PA 8</v>
      </c>
      <c r="C251" s="270">
        <v>6</v>
      </c>
      <c r="D251" s="256"/>
      <c r="E251" s="268" t="s">
        <v>25</v>
      </c>
      <c r="F251" s="268" t="s">
        <v>28</v>
      </c>
      <c r="G251" s="256"/>
      <c r="H251" s="264"/>
      <c r="I251" s="264"/>
      <c r="J251" s="268" t="s">
        <v>186</v>
      </c>
      <c r="K251" s="256"/>
      <c r="L251" s="266" t="s">
        <v>112</v>
      </c>
      <c r="M251" s="256"/>
      <c r="N251" s="256"/>
      <c r="O251" s="266" t="s">
        <v>112</v>
      </c>
      <c r="P251" s="256"/>
      <c r="Q251" s="256"/>
      <c r="R251" s="266" t="s">
        <v>112</v>
      </c>
      <c r="S251" s="256"/>
      <c r="T251" s="256"/>
      <c r="U251" s="256" t="s">
        <v>49</v>
      </c>
      <c r="V251" s="256" t="s">
        <v>49</v>
      </c>
      <c r="W251" s="265" t="s">
        <v>50</v>
      </c>
      <c r="AE251" s="174"/>
      <c r="AF251" s="35"/>
      <c r="AG251" s="35"/>
      <c r="AH251" s="35"/>
      <c r="AI251" s="35"/>
      <c r="AJ251" s="167"/>
      <c r="AK251" s="167"/>
      <c r="AL251" s="35"/>
      <c r="AM251" s="174"/>
      <c r="AN251" s="196"/>
      <c r="AO251" s="35"/>
      <c r="AP251" s="35"/>
      <c r="AQ251" s="167"/>
      <c r="AR251" s="174"/>
      <c r="AS251" s="35"/>
      <c r="AT251" s="196"/>
      <c r="AU251" s="35"/>
      <c r="AV251" s="35"/>
      <c r="AW251" s="167"/>
      <c r="AX251" s="35"/>
      <c r="AY251" s="197"/>
      <c r="AZ251" s="6"/>
      <c r="BA251" s="6"/>
      <c r="BB251" s="6"/>
      <c r="BD251" s="35"/>
      <c r="BE251" s="6"/>
    </row>
    <row r="252" spans="1:57" ht="15.5" x14ac:dyDescent="0.25">
      <c r="A252" s="6">
        <f t="shared" si="13"/>
        <v>39</v>
      </c>
      <c r="B252" s="255" t="str">
        <f t="shared" si="14"/>
        <v>PA 11</v>
      </c>
      <c r="C252" s="268">
        <v>5.5</v>
      </c>
      <c r="D252" s="256"/>
      <c r="E252" s="268" t="s">
        <v>25</v>
      </c>
      <c r="F252" s="268" t="s">
        <v>28</v>
      </c>
      <c r="G252" s="256"/>
      <c r="H252" s="264"/>
      <c r="I252" s="264"/>
      <c r="J252" s="268" t="s">
        <v>187</v>
      </c>
      <c r="K252" s="256"/>
      <c r="L252" s="266" t="s">
        <v>112</v>
      </c>
      <c r="M252" s="256"/>
      <c r="N252" s="256"/>
      <c r="O252" s="266" t="s">
        <v>112</v>
      </c>
      <c r="P252" s="256"/>
      <c r="Q252" s="256"/>
      <c r="R252" s="266" t="s">
        <v>112</v>
      </c>
      <c r="S252" s="256"/>
      <c r="T252" s="256"/>
      <c r="U252" s="256" t="s">
        <v>49</v>
      </c>
      <c r="V252" s="256" t="s">
        <v>49</v>
      </c>
      <c r="W252" s="265" t="s">
        <v>50</v>
      </c>
      <c r="AE252" s="172"/>
      <c r="AF252" s="35"/>
      <c r="AG252" s="35"/>
      <c r="AH252" s="35"/>
      <c r="AI252" s="35"/>
      <c r="AJ252" s="167"/>
      <c r="AK252" s="167"/>
      <c r="AL252" s="35"/>
      <c r="AM252" s="174"/>
      <c r="AN252" s="196"/>
      <c r="AO252" s="35"/>
      <c r="AP252" s="35"/>
      <c r="AQ252" s="167"/>
      <c r="AR252" s="174"/>
      <c r="AS252" s="35"/>
      <c r="AT252" s="196"/>
      <c r="AU252" s="35"/>
      <c r="AV252" s="35"/>
      <c r="AX252" s="167"/>
      <c r="AY252" s="197"/>
      <c r="AZ252" s="6"/>
      <c r="BA252" s="6"/>
      <c r="BB252" s="6"/>
      <c r="BD252" s="35"/>
      <c r="BE252" s="6"/>
    </row>
    <row r="253" spans="1:57" ht="15.5" x14ac:dyDescent="0.25">
      <c r="A253" s="6">
        <f t="shared" si="13"/>
        <v>40</v>
      </c>
      <c r="B253" s="255" t="str">
        <f t="shared" si="14"/>
        <v>PA B 16</v>
      </c>
      <c r="C253" s="270">
        <v>4</v>
      </c>
      <c r="D253" s="256"/>
      <c r="E253" s="256" t="s">
        <v>53</v>
      </c>
      <c r="F253" s="256" t="s">
        <v>124</v>
      </c>
      <c r="G253" s="256"/>
      <c r="H253" s="264"/>
      <c r="I253" s="264"/>
      <c r="J253" s="268" t="s">
        <v>188</v>
      </c>
      <c r="K253" s="256"/>
      <c r="L253" s="266" t="s">
        <v>112</v>
      </c>
      <c r="M253" s="256"/>
      <c r="N253" s="256"/>
      <c r="O253" s="266" t="s">
        <v>112</v>
      </c>
      <c r="P253" s="256"/>
      <c r="Q253" s="256"/>
      <c r="R253" s="266" t="s">
        <v>112</v>
      </c>
      <c r="S253" s="256"/>
      <c r="T253" s="256"/>
      <c r="U253" s="256" t="s">
        <v>49</v>
      </c>
      <c r="V253" s="256" t="s">
        <v>49</v>
      </c>
      <c r="W253" s="265" t="s">
        <v>50</v>
      </c>
      <c r="AE253" s="35"/>
      <c r="AF253" s="35"/>
      <c r="AG253" s="35"/>
      <c r="AH253" s="35"/>
      <c r="AI253" s="35"/>
      <c r="AJ253" s="167"/>
      <c r="AK253" s="167"/>
      <c r="AL253" s="35"/>
      <c r="AM253" s="174"/>
      <c r="AN253" s="196"/>
      <c r="AO253" s="35"/>
      <c r="AP253" s="35"/>
      <c r="AQ253" s="167"/>
      <c r="AR253" s="174"/>
      <c r="AS253" s="35"/>
      <c r="AT253" s="196"/>
      <c r="AU253" s="35"/>
      <c r="AV253" s="35"/>
      <c r="AW253" s="167"/>
      <c r="AX253" s="35"/>
      <c r="AY253" s="197"/>
      <c r="AZ253" s="6"/>
      <c r="BA253" s="6"/>
      <c r="BB253" s="6"/>
      <c r="BD253" s="35"/>
      <c r="BE253" s="6"/>
    </row>
    <row r="254" spans="1:57" ht="15.5" x14ac:dyDescent="0.25">
      <c r="A254" s="6">
        <f t="shared" si="13"/>
        <v>41</v>
      </c>
      <c r="B254" s="255" t="str">
        <f t="shared" si="14"/>
        <v>PA B 22</v>
      </c>
      <c r="C254" s="270">
        <v>3.5</v>
      </c>
      <c r="D254" s="256"/>
      <c r="E254" s="256" t="s">
        <v>53</v>
      </c>
      <c r="F254" s="256" t="s">
        <v>124</v>
      </c>
      <c r="G254" s="256"/>
      <c r="H254" s="264"/>
      <c r="I254" s="264"/>
      <c r="J254" s="268" t="s">
        <v>188</v>
      </c>
      <c r="K254" s="256"/>
      <c r="L254" s="266" t="s">
        <v>112</v>
      </c>
      <c r="M254" s="256"/>
      <c r="N254" s="256"/>
      <c r="O254" s="266" t="s">
        <v>112</v>
      </c>
      <c r="P254" s="256"/>
      <c r="Q254" s="256"/>
      <c r="R254" s="266" t="s">
        <v>112</v>
      </c>
      <c r="S254" s="256"/>
      <c r="T254" s="256"/>
      <c r="U254" s="256" t="s">
        <v>49</v>
      </c>
      <c r="V254" s="256" t="s">
        <v>49</v>
      </c>
      <c r="W254" s="265" t="s">
        <v>50</v>
      </c>
      <c r="X254" s="155" t="s">
        <v>118</v>
      </c>
      <c r="Y254" s="155" t="s">
        <v>120</v>
      </c>
      <c r="Z254" s="155" t="s">
        <v>122</v>
      </c>
      <c r="AE254" s="35"/>
      <c r="AF254" s="35"/>
      <c r="AG254" s="35"/>
      <c r="AH254" s="35"/>
      <c r="AI254" s="35"/>
      <c r="AJ254" s="167"/>
      <c r="AK254" s="167"/>
      <c r="AL254" s="35"/>
      <c r="AM254" s="174"/>
      <c r="AN254" s="196"/>
      <c r="AO254" s="35"/>
      <c r="AP254" s="35"/>
      <c r="AQ254" s="167"/>
      <c r="AR254" s="174"/>
      <c r="AS254" s="35"/>
      <c r="AT254" s="196"/>
      <c r="AU254" s="35"/>
      <c r="AV254" s="35"/>
      <c r="AX254" s="167"/>
      <c r="AY254" s="197"/>
      <c r="AZ254" s="155"/>
      <c r="BA254" s="155"/>
      <c r="BB254" s="155"/>
      <c r="BD254" s="35"/>
      <c r="BE254" s="6"/>
    </row>
    <row r="255" spans="1:57" ht="15.5" x14ac:dyDescent="0.25">
      <c r="A255" s="6">
        <f t="shared" si="13"/>
        <v>42</v>
      </c>
      <c r="B255" s="255" t="str">
        <f t="shared" si="14"/>
        <v>PA S 16</v>
      </c>
      <c r="C255" s="270">
        <v>3.5</v>
      </c>
      <c r="D255" s="256"/>
      <c r="E255" s="256" t="s">
        <v>53</v>
      </c>
      <c r="F255" s="256" t="s">
        <v>29</v>
      </c>
      <c r="G255" s="256"/>
      <c r="H255" s="264"/>
      <c r="I255" s="264"/>
      <c r="J255" s="268" t="s">
        <v>187</v>
      </c>
      <c r="K255" s="256"/>
      <c r="L255" s="266" t="s">
        <v>112</v>
      </c>
      <c r="M255" s="256"/>
      <c r="N255" s="256"/>
      <c r="O255" s="266" t="s">
        <v>112</v>
      </c>
      <c r="P255" s="256"/>
      <c r="Q255" s="256"/>
      <c r="R255" s="266" t="s">
        <v>112</v>
      </c>
      <c r="S255" s="256"/>
      <c r="T255" s="256"/>
      <c r="U255" s="256" t="s">
        <v>49</v>
      </c>
      <c r="V255" s="256" t="s">
        <v>49</v>
      </c>
      <c r="W255" s="265" t="s">
        <v>189</v>
      </c>
      <c r="X255" s="155" t="s">
        <v>119</v>
      </c>
      <c r="Y255" s="155" t="s">
        <v>121</v>
      </c>
      <c r="Z255" s="155" t="s">
        <v>123</v>
      </c>
      <c r="AE255" s="35"/>
      <c r="AF255" s="35"/>
      <c r="AG255" s="35"/>
      <c r="AH255" s="35"/>
      <c r="AI255" s="35"/>
      <c r="AJ255" s="167"/>
      <c r="AK255" s="167"/>
      <c r="AL255" s="35"/>
      <c r="AM255" s="174"/>
      <c r="AN255" s="196"/>
      <c r="AO255" s="35"/>
      <c r="AP255" s="35"/>
      <c r="AQ255" s="167"/>
      <c r="AR255" s="174"/>
      <c r="AS255" s="35"/>
      <c r="AT255" s="196"/>
      <c r="AU255" s="35"/>
      <c r="AV255" s="35"/>
      <c r="AX255" s="167"/>
      <c r="AY255" s="197"/>
      <c r="AZ255" s="155"/>
      <c r="BA255" s="155"/>
      <c r="BB255" s="155"/>
      <c r="BD255" s="35"/>
      <c r="BE255" s="6"/>
    </row>
    <row r="256" spans="1:57" ht="15.5" x14ac:dyDescent="0.25">
      <c r="A256" s="6">
        <f t="shared" si="13"/>
        <v>43</v>
      </c>
      <c r="B256" s="255" t="str">
        <f t="shared" si="14"/>
        <v>PA S 22</v>
      </c>
      <c r="C256" s="270">
        <v>3</v>
      </c>
      <c r="D256" s="256"/>
      <c r="E256" s="256" t="s">
        <v>53</v>
      </c>
      <c r="F256" s="256" t="s">
        <v>29</v>
      </c>
      <c r="G256" s="256"/>
      <c r="H256" s="264"/>
      <c r="I256" s="264"/>
      <c r="J256" s="268" t="s">
        <v>187</v>
      </c>
      <c r="K256" s="256"/>
      <c r="L256" s="266" t="s">
        <v>112</v>
      </c>
      <c r="M256" s="256"/>
      <c r="N256" s="256"/>
      <c r="O256" s="266" t="s">
        <v>112</v>
      </c>
      <c r="P256" s="256"/>
      <c r="Q256" s="256"/>
      <c r="R256" s="266" t="s">
        <v>112</v>
      </c>
      <c r="S256" s="256"/>
      <c r="T256" s="256"/>
      <c r="U256" s="256" t="s">
        <v>49</v>
      </c>
      <c r="V256" s="256" t="s">
        <v>49</v>
      </c>
      <c r="W256" s="265" t="s">
        <v>189</v>
      </c>
      <c r="AE256" s="172"/>
      <c r="AF256" s="35"/>
      <c r="AG256" s="35"/>
      <c r="AH256" s="35"/>
      <c r="AI256" s="35"/>
      <c r="AJ256" s="167"/>
      <c r="AK256" s="167"/>
      <c r="AL256" s="35"/>
      <c r="AM256" s="174"/>
      <c r="AN256" s="196"/>
      <c r="AO256" s="35"/>
      <c r="AP256" s="35"/>
      <c r="AQ256" s="167"/>
      <c r="AR256" s="174"/>
      <c r="AS256" s="35"/>
      <c r="AT256" s="196"/>
      <c r="AU256" s="35"/>
      <c r="AV256" s="35"/>
      <c r="AX256" s="35"/>
      <c r="AY256" s="197"/>
      <c r="AZ256" s="6"/>
      <c r="BA256" s="6"/>
      <c r="BB256" s="6"/>
      <c r="BD256" s="35"/>
      <c r="BE256" s="6"/>
    </row>
    <row r="257" spans="1:57" ht="15.5" x14ac:dyDescent="0.25">
      <c r="A257" s="6">
        <f t="shared" si="13"/>
        <v>44</v>
      </c>
      <c r="B257" s="255" t="str">
        <f t="shared" si="14"/>
        <v>PA S 32</v>
      </c>
      <c r="C257" s="270">
        <v>3</v>
      </c>
      <c r="D257" s="256"/>
      <c r="E257" s="256" t="s">
        <v>53</v>
      </c>
      <c r="F257" s="256" t="s">
        <v>29</v>
      </c>
      <c r="G257" s="256"/>
      <c r="H257" s="264"/>
      <c r="I257" s="264"/>
      <c r="J257" s="268" t="s">
        <v>187</v>
      </c>
      <c r="K257" s="256"/>
      <c r="L257" s="266" t="s">
        <v>112</v>
      </c>
      <c r="M257" s="256"/>
      <c r="N257" s="256"/>
      <c r="O257" s="266" t="s">
        <v>112</v>
      </c>
      <c r="P257" s="256"/>
      <c r="Q257" s="256"/>
      <c r="R257" s="266" t="s">
        <v>112</v>
      </c>
      <c r="S257" s="256"/>
      <c r="T257" s="256"/>
      <c r="U257" s="256" t="s">
        <v>49</v>
      </c>
      <c r="V257" s="256" t="s">
        <v>49</v>
      </c>
      <c r="W257" s="265" t="s">
        <v>189</v>
      </c>
      <c r="AE257" s="172"/>
      <c r="AF257" s="35"/>
      <c r="AG257" s="35"/>
      <c r="AH257" s="35"/>
      <c r="AI257" s="35"/>
      <c r="AJ257" s="167"/>
      <c r="AK257" s="167"/>
      <c r="AL257" s="35"/>
      <c r="AM257" s="174"/>
      <c r="AN257" s="196"/>
      <c r="AO257" s="35"/>
      <c r="AP257" s="35"/>
      <c r="AQ257" s="167"/>
      <c r="AR257" s="174"/>
      <c r="AS257" s="35"/>
      <c r="AT257" s="196"/>
      <c r="AU257" s="35"/>
      <c r="AV257" s="35"/>
      <c r="AX257" s="35"/>
      <c r="AY257" s="197"/>
      <c r="AZ257" s="6"/>
      <c r="BA257" s="6"/>
      <c r="BB257" s="6"/>
      <c r="BD257" s="35"/>
      <c r="BE257" s="6"/>
    </row>
    <row r="258" spans="1:57" ht="15.5" x14ac:dyDescent="0.25">
      <c r="A258" s="6">
        <f t="shared" si="13"/>
        <v>45</v>
      </c>
      <c r="B258" s="255" t="str">
        <f t="shared" si="14"/>
        <v>SDA 4 - 12</v>
      </c>
      <c r="C258" s="270">
        <v>6</v>
      </c>
      <c r="D258" s="256"/>
      <c r="E258" s="268" t="s">
        <v>25</v>
      </c>
      <c r="F258" s="256" t="s">
        <v>28</v>
      </c>
      <c r="G258" s="256"/>
      <c r="H258" s="264"/>
      <c r="I258" s="264"/>
      <c r="J258" s="268" t="s">
        <v>198</v>
      </c>
      <c r="K258" s="256"/>
      <c r="L258" s="266" t="s">
        <v>112</v>
      </c>
      <c r="M258" s="256"/>
      <c r="N258" s="256"/>
      <c r="O258" s="266" t="s">
        <v>112</v>
      </c>
      <c r="P258" s="256"/>
      <c r="Q258" s="256"/>
      <c r="R258" s="266" t="s">
        <v>112</v>
      </c>
      <c r="S258" s="256"/>
      <c r="T258" s="256"/>
      <c r="U258" s="256" t="s">
        <v>49</v>
      </c>
      <c r="V258" s="264" t="s">
        <v>48</v>
      </c>
      <c r="W258" s="265" t="s">
        <v>50</v>
      </c>
      <c r="AE258" s="172"/>
      <c r="AF258" s="35"/>
      <c r="AG258" s="35"/>
      <c r="AH258" s="35"/>
      <c r="AI258" s="35"/>
      <c r="AJ258" s="167"/>
      <c r="AK258" s="167"/>
      <c r="AL258" s="35"/>
      <c r="AM258" s="174"/>
      <c r="AN258" s="196"/>
      <c r="AO258" s="35"/>
      <c r="AP258" s="35"/>
      <c r="AQ258" s="167"/>
      <c r="AR258" s="174"/>
      <c r="AS258" s="35"/>
      <c r="AT258" s="196"/>
      <c r="AU258" s="35"/>
      <c r="AV258" s="35"/>
      <c r="AX258" s="35"/>
      <c r="AY258" s="197"/>
      <c r="AZ258" s="6"/>
      <c r="BA258" s="6"/>
      <c r="BB258" s="6"/>
      <c r="BD258" s="35"/>
      <c r="BE258" s="6"/>
    </row>
    <row r="259" spans="1:57" ht="15.5" x14ac:dyDescent="0.25">
      <c r="A259" s="6">
        <f t="shared" si="13"/>
        <v>46</v>
      </c>
      <c r="B259" s="255" t="str">
        <f t="shared" si="14"/>
        <v>SDA 4 - 16</v>
      </c>
      <c r="C259" s="270">
        <v>6</v>
      </c>
      <c r="D259" s="256"/>
      <c r="E259" s="268" t="s">
        <v>25</v>
      </c>
      <c r="F259" s="256" t="s">
        <v>28</v>
      </c>
      <c r="G259" s="256"/>
      <c r="H259" s="264"/>
      <c r="I259" s="264"/>
      <c r="J259" s="268" t="s">
        <v>199</v>
      </c>
      <c r="K259" s="256"/>
      <c r="L259" s="266" t="s">
        <v>112</v>
      </c>
      <c r="M259" s="256"/>
      <c r="N259" s="256"/>
      <c r="O259" s="266" t="s">
        <v>112</v>
      </c>
      <c r="P259" s="256"/>
      <c r="Q259" s="256"/>
      <c r="R259" s="266" t="s">
        <v>112</v>
      </c>
      <c r="S259" s="256"/>
      <c r="T259" s="256"/>
      <c r="U259" s="256" t="s">
        <v>49</v>
      </c>
      <c r="V259" s="264" t="s">
        <v>48</v>
      </c>
      <c r="W259" s="265" t="s">
        <v>50</v>
      </c>
      <c r="AE259" s="172"/>
      <c r="AF259" s="35"/>
      <c r="AG259" s="35"/>
      <c r="AH259" s="35"/>
      <c r="AI259" s="35"/>
      <c r="AJ259" s="167"/>
      <c r="AK259" s="167"/>
      <c r="AL259" s="35"/>
      <c r="AM259" s="174"/>
      <c r="AN259" s="196"/>
      <c r="AO259" s="35"/>
      <c r="AP259" s="35"/>
      <c r="AQ259" s="167"/>
      <c r="AR259" s="174"/>
      <c r="AS259" s="35"/>
      <c r="AT259" s="196"/>
      <c r="AU259" s="35"/>
      <c r="AV259" s="35"/>
      <c r="AX259" s="35"/>
      <c r="AY259" s="197"/>
      <c r="AZ259" s="6"/>
      <c r="BA259" s="6"/>
      <c r="BB259" s="6"/>
      <c r="BD259" s="35"/>
      <c r="BE259" s="6"/>
    </row>
    <row r="260" spans="1:57" ht="15.5" x14ac:dyDescent="0.25">
      <c r="A260" s="6">
        <f t="shared" si="13"/>
        <v>47</v>
      </c>
      <c r="B260" s="255" t="str">
        <f t="shared" ref="B260:B275" si="15">B190</f>
        <v>SDA 4 - 20</v>
      </c>
      <c r="C260" s="270">
        <v>6</v>
      </c>
      <c r="D260" s="256"/>
      <c r="E260" s="256" t="s">
        <v>25</v>
      </c>
      <c r="F260" s="256" t="s">
        <v>28</v>
      </c>
      <c r="G260" s="256"/>
      <c r="H260" s="264"/>
      <c r="I260" s="264"/>
      <c r="J260" s="268" t="s">
        <v>200</v>
      </c>
      <c r="K260" s="256"/>
      <c r="L260" s="266" t="s">
        <v>112</v>
      </c>
      <c r="M260" s="256"/>
      <c r="N260" s="256"/>
      <c r="O260" s="266" t="s">
        <v>112</v>
      </c>
      <c r="P260" s="256"/>
      <c r="Q260" s="256"/>
      <c r="R260" s="266" t="s">
        <v>112</v>
      </c>
      <c r="S260" s="256"/>
      <c r="T260" s="256"/>
      <c r="U260" s="256" t="s">
        <v>49</v>
      </c>
      <c r="V260" s="264" t="s">
        <v>48</v>
      </c>
      <c r="W260" s="265" t="s">
        <v>50</v>
      </c>
      <c r="AE260" s="35"/>
      <c r="AF260" s="35"/>
      <c r="AG260" s="35"/>
      <c r="AH260" s="35"/>
      <c r="AI260" s="35"/>
      <c r="AJ260" s="167"/>
      <c r="AK260" s="167"/>
      <c r="AL260" s="35"/>
      <c r="AM260" s="174"/>
      <c r="AN260" s="196"/>
      <c r="AO260" s="35"/>
      <c r="AP260" s="35"/>
      <c r="AQ260" s="167"/>
      <c r="AR260" s="174"/>
      <c r="AS260" s="35"/>
      <c r="AT260" s="196"/>
      <c r="AU260" s="35"/>
      <c r="AV260" s="35"/>
      <c r="AX260" s="167"/>
      <c r="AY260" s="197"/>
      <c r="AZ260" s="6"/>
      <c r="BA260" s="6"/>
      <c r="BB260" s="6"/>
      <c r="BD260" s="35"/>
      <c r="BE260" s="6"/>
    </row>
    <row r="261" spans="1:57" ht="15.5" x14ac:dyDescent="0.25">
      <c r="A261" s="6">
        <f t="shared" si="13"/>
        <v>48</v>
      </c>
      <c r="B261" s="255" t="str">
        <f>B191</f>
        <v>SDA 8 - 12</v>
      </c>
      <c r="C261" s="270">
        <v>5.8</v>
      </c>
      <c r="D261" s="256"/>
      <c r="E261" s="256" t="s">
        <v>25</v>
      </c>
      <c r="F261" s="256" t="s">
        <v>28</v>
      </c>
      <c r="G261" s="256"/>
      <c r="H261" s="264"/>
      <c r="I261" s="264"/>
      <c r="J261" s="268" t="s">
        <v>198</v>
      </c>
      <c r="K261" s="256"/>
      <c r="L261" s="266" t="s">
        <v>112</v>
      </c>
      <c r="M261" s="256"/>
      <c r="N261" s="256"/>
      <c r="O261" s="266" t="s">
        <v>112</v>
      </c>
      <c r="P261" s="256"/>
      <c r="Q261" s="256"/>
      <c r="R261" s="266" t="s">
        <v>112</v>
      </c>
      <c r="S261" s="256"/>
      <c r="T261" s="256"/>
      <c r="U261" s="266" t="s">
        <v>112</v>
      </c>
      <c r="V261" s="264" t="s">
        <v>48</v>
      </c>
      <c r="W261" s="265" t="s">
        <v>50</v>
      </c>
      <c r="AE261" s="35"/>
      <c r="AF261" s="35"/>
      <c r="AG261" s="35"/>
      <c r="AH261" s="35"/>
      <c r="AI261" s="35"/>
      <c r="AJ261" s="167"/>
      <c r="AK261" s="167"/>
      <c r="AL261" s="35"/>
      <c r="AM261" s="174"/>
      <c r="AN261" s="196"/>
      <c r="AO261" s="35"/>
      <c r="AP261" s="35"/>
      <c r="AQ261" s="167"/>
      <c r="AR261" s="174"/>
      <c r="AS261" s="35"/>
      <c r="AT261" s="196"/>
      <c r="AU261" s="35"/>
      <c r="AV261" s="35"/>
      <c r="AX261" s="167"/>
      <c r="AY261" s="197"/>
      <c r="AZ261" s="6"/>
      <c r="BA261" s="6"/>
      <c r="BB261" s="6"/>
      <c r="BD261" s="35"/>
      <c r="BE261" s="6"/>
    </row>
    <row r="262" spans="1:57" ht="15.5" x14ac:dyDescent="0.25">
      <c r="A262" s="6">
        <f t="shared" si="13"/>
        <v>49</v>
      </c>
      <c r="B262" s="255" t="str">
        <f>B192</f>
        <v>SDA 8 - 16</v>
      </c>
      <c r="C262" s="270">
        <v>5.8</v>
      </c>
      <c r="D262" s="256"/>
      <c r="E262" s="256" t="s">
        <v>25</v>
      </c>
      <c r="F262" s="256" t="s">
        <v>28</v>
      </c>
      <c r="G262" s="256"/>
      <c r="H262" s="264"/>
      <c r="I262" s="264"/>
      <c r="J262" s="268" t="s">
        <v>199</v>
      </c>
      <c r="K262" s="256"/>
      <c r="L262" s="266" t="s">
        <v>112</v>
      </c>
      <c r="M262" s="256"/>
      <c r="N262" s="256"/>
      <c r="O262" s="266" t="s">
        <v>112</v>
      </c>
      <c r="P262" s="256"/>
      <c r="Q262" s="256"/>
      <c r="R262" s="266" t="s">
        <v>112</v>
      </c>
      <c r="S262" s="256"/>
      <c r="T262" s="256"/>
      <c r="U262" s="266" t="s">
        <v>112</v>
      </c>
      <c r="V262" s="264" t="s">
        <v>48</v>
      </c>
      <c r="W262" s="265" t="s">
        <v>50</v>
      </c>
      <c r="AE262" s="172"/>
      <c r="AF262" s="35"/>
      <c r="AG262" s="35"/>
      <c r="AH262" s="35"/>
      <c r="AI262" s="35"/>
      <c r="AJ262" s="167"/>
      <c r="AK262" s="167"/>
      <c r="AL262" s="35"/>
      <c r="AM262" s="174"/>
      <c r="AN262" s="196"/>
      <c r="AO262" s="35"/>
      <c r="AP262" s="35"/>
      <c r="AQ262" s="167"/>
      <c r="AR262" s="174"/>
      <c r="AS262" s="35"/>
      <c r="AT262" s="196"/>
      <c r="AU262" s="35"/>
      <c r="AV262" s="35"/>
      <c r="AX262" s="167"/>
      <c r="AY262" s="197"/>
      <c r="AZ262" s="6"/>
      <c r="BA262" s="6"/>
      <c r="BB262" s="6"/>
      <c r="BD262" s="35"/>
      <c r="BE262" s="6"/>
    </row>
    <row r="263" spans="1:57" x14ac:dyDescent="0.25">
      <c r="A263" s="6">
        <f t="shared" si="13"/>
        <v>50</v>
      </c>
      <c r="B263" s="255"/>
      <c r="C263" s="256"/>
      <c r="D263" s="256"/>
      <c r="E263" s="256"/>
      <c r="F263" s="256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56"/>
      <c r="W263" s="255"/>
      <c r="AE263" s="172"/>
      <c r="AF263" s="35"/>
      <c r="AG263" s="35"/>
      <c r="AH263" s="35"/>
      <c r="AI263" s="35"/>
      <c r="AJ263" s="167"/>
      <c r="AK263" s="167"/>
      <c r="AL263" s="35"/>
      <c r="AM263" s="174"/>
      <c r="AN263" s="196"/>
      <c r="AO263" s="35"/>
      <c r="AP263" s="35"/>
      <c r="AQ263" s="167"/>
      <c r="AR263" s="174"/>
      <c r="AS263" s="35"/>
      <c r="AT263" s="196"/>
      <c r="AU263" s="35"/>
      <c r="AV263" s="35"/>
      <c r="AX263" s="167"/>
      <c r="AY263" s="197"/>
      <c r="AZ263" s="6"/>
      <c r="BA263" s="6"/>
      <c r="BB263" s="6"/>
      <c r="BD263" s="35"/>
      <c r="BE263" s="6"/>
    </row>
    <row r="264" spans="1:57" x14ac:dyDescent="0.25">
      <c r="A264" s="6">
        <f t="shared" si="13"/>
        <v>51</v>
      </c>
      <c r="B264" s="255"/>
      <c r="C264" s="270"/>
      <c r="D264" s="256"/>
      <c r="E264" s="256"/>
      <c r="F264" s="256"/>
      <c r="G264" s="256"/>
      <c r="H264" s="264"/>
      <c r="I264" s="264"/>
      <c r="J264" s="268"/>
      <c r="K264" s="256"/>
      <c r="L264" s="266"/>
      <c r="M264" s="256"/>
      <c r="N264" s="256"/>
      <c r="O264" s="266"/>
      <c r="P264" s="256"/>
      <c r="Q264" s="256"/>
      <c r="R264" s="266"/>
      <c r="S264" s="256"/>
      <c r="T264" s="256"/>
      <c r="U264" s="266"/>
      <c r="V264" s="264"/>
      <c r="W264" s="265"/>
      <c r="AE264" s="172"/>
      <c r="AF264" s="35"/>
      <c r="AG264" s="35"/>
      <c r="AH264" s="35"/>
      <c r="AI264" s="35"/>
      <c r="AJ264" s="167"/>
      <c r="AK264" s="167"/>
      <c r="AL264" s="35"/>
      <c r="AM264" s="174"/>
      <c r="AN264" s="196"/>
      <c r="AO264" s="35"/>
      <c r="AP264" s="35"/>
      <c r="AQ264" s="167"/>
      <c r="AR264" s="174"/>
      <c r="AS264" s="35"/>
      <c r="AT264" s="196"/>
      <c r="AU264" s="35"/>
      <c r="AV264" s="35"/>
      <c r="AX264" s="167"/>
      <c r="AY264" s="197"/>
      <c r="AZ264" s="6"/>
      <c r="BA264" s="6"/>
      <c r="BB264" s="6"/>
      <c r="BD264" s="35"/>
      <c r="BE264" s="6"/>
    </row>
    <row r="265" spans="1:57" x14ac:dyDescent="0.25">
      <c r="A265" s="6">
        <f t="shared" si="13"/>
        <v>52</v>
      </c>
      <c r="B265" s="255">
        <f t="shared" si="15"/>
        <v>0</v>
      </c>
      <c r="C265" s="285"/>
      <c r="D265" s="256"/>
      <c r="E265" s="256"/>
      <c r="F265" s="256"/>
      <c r="G265" s="256"/>
      <c r="H265" s="264"/>
      <c r="I265" s="264"/>
      <c r="J265" s="256"/>
      <c r="K265" s="256"/>
      <c r="L265" s="266"/>
      <c r="M265" s="256"/>
      <c r="N265" s="256"/>
      <c r="O265" s="266"/>
      <c r="P265" s="256"/>
      <c r="Q265" s="256"/>
      <c r="R265" s="266"/>
      <c r="S265" s="256"/>
      <c r="T265" s="256"/>
      <c r="U265" s="256"/>
      <c r="V265" s="264"/>
      <c r="W265" s="265"/>
      <c r="AE265" s="172"/>
      <c r="AF265" s="35"/>
      <c r="AG265" s="35"/>
      <c r="AH265" s="35"/>
      <c r="AI265" s="35"/>
      <c r="AJ265" s="167"/>
      <c r="AK265" s="167"/>
      <c r="AL265" s="35"/>
      <c r="AM265" s="174"/>
      <c r="AN265" s="196"/>
      <c r="AO265" s="35"/>
      <c r="AP265" s="35"/>
      <c r="AQ265" s="167"/>
      <c r="AR265" s="174"/>
      <c r="AS265" s="35"/>
      <c r="AT265" s="196"/>
      <c r="AU265" s="35"/>
      <c r="AV265" s="35"/>
      <c r="AX265" s="167"/>
      <c r="AY265" s="197"/>
      <c r="AZ265" s="6"/>
      <c r="BA265" s="6"/>
      <c r="BB265" s="6"/>
      <c r="BD265" s="35"/>
      <c r="BE265" s="6"/>
    </row>
    <row r="266" spans="1:57" x14ac:dyDescent="0.25">
      <c r="A266" s="6">
        <f t="shared" si="13"/>
        <v>53</v>
      </c>
      <c r="B266" s="255">
        <f t="shared" si="15"/>
        <v>0</v>
      </c>
      <c r="C266" s="256"/>
      <c r="D266" s="256"/>
      <c r="E266" s="256"/>
      <c r="F266" s="256"/>
      <c r="G266" s="256"/>
      <c r="H266" s="264"/>
      <c r="I266" s="264"/>
      <c r="J266" s="256"/>
      <c r="K266" s="256"/>
      <c r="L266" s="266"/>
      <c r="M266" s="256"/>
      <c r="N266" s="256"/>
      <c r="O266" s="264"/>
      <c r="P266" s="256"/>
      <c r="Q266" s="256"/>
      <c r="R266" s="256"/>
      <c r="S266" s="256"/>
      <c r="T266" s="256"/>
      <c r="U266" s="256"/>
      <c r="V266" s="256"/>
      <c r="W266" s="265"/>
      <c r="AE266" s="35"/>
      <c r="AF266" s="35"/>
      <c r="AG266" s="35"/>
      <c r="AH266" s="35"/>
      <c r="AI266" s="35"/>
      <c r="AJ266" s="167"/>
      <c r="AK266" s="167"/>
      <c r="AL266" s="35"/>
      <c r="AM266" s="174"/>
      <c r="AN266" s="196"/>
      <c r="AO266" s="35"/>
      <c r="AP266" s="35"/>
      <c r="AQ266" s="167"/>
      <c r="AR266" s="174"/>
      <c r="AS266" s="35"/>
      <c r="AT266" s="35"/>
      <c r="AU266" s="35"/>
      <c r="AV266" s="35"/>
      <c r="AX266" s="35"/>
      <c r="AY266" s="197"/>
      <c r="AZ266" s="6"/>
      <c r="BA266" s="6"/>
      <c r="BB266" s="6"/>
      <c r="BD266" s="35"/>
      <c r="BE266" s="6"/>
    </row>
    <row r="267" spans="1:57" x14ac:dyDescent="0.25">
      <c r="A267" s="6">
        <f t="shared" si="13"/>
        <v>54</v>
      </c>
      <c r="B267" s="255">
        <f t="shared" si="15"/>
        <v>0</v>
      </c>
      <c r="C267" s="256"/>
      <c r="D267" s="256"/>
      <c r="E267" s="256"/>
      <c r="F267" s="256"/>
      <c r="G267" s="256"/>
      <c r="H267" s="264"/>
      <c r="I267" s="264"/>
      <c r="J267" s="256"/>
      <c r="K267" s="256"/>
      <c r="L267" s="266"/>
      <c r="M267" s="256"/>
      <c r="N267" s="256"/>
      <c r="O267" s="264"/>
      <c r="P267" s="256"/>
      <c r="Q267" s="256"/>
      <c r="R267" s="256"/>
      <c r="S267" s="256"/>
      <c r="T267" s="256"/>
      <c r="U267" s="256"/>
      <c r="V267" s="256"/>
      <c r="W267" s="265"/>
      <c r="AE267" s="35"/>
      <c r="AF267" s="35"/>
      <c r="AG267" s="35"/>
      <c r="AH267" s="35"/>
      <c r="AI267" s="35"/>
      <c r="AJ267" s="167"/>
      <c r="AK267" s="167"/>
      <c r="AL267" s="35"/>
      <c r="AM267" s="35"/>
      <c r="AN267" s="196"/>
      <c r="AO267" s="35"/>
      <c r="AP267" s="35"/>
      <c r="AQ267" s="167"/>
      <c r="AR267" s="174"/>
      <c r="AS267" s="35"/>
      <c r="AT267" s="35"/>
      <c r="AU267" s="35"/>
      <c r="AV267" s="35"/>
      <c r="AX267" s="35"/>
      <c r="AY267" s="197"/>
      <c r="AZ267" s="6"/>
      <c r="BA267" s="6"/>
      <c r="BB267" s="6"/>
      <c r="BD267" s="35"/>
      <c r="BE267" s="6"/>
    </row>
    <row r="268" spans="1:57" x14ac:dyDescent="0.25">
      <c r="A268" s="6">
        <f t="shared" si="13"/>
        <v>55</v>
      </c>
      <c r="B268" s="255">
        <f t="shared" si="15"/>
        <v>0</v>
      </c>
      <c r="C268" s="256"/>
      <c r="D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56"/>
      <c r="W268" s="25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167"/>
      <c r="AR268" s="174"/>
      <c r="AS268" s="35"/>
      <c r="AT268" s="35"/>
      <c r="AU268" s="35"/>
      <c r="AV268" s="35"/>
      <c r="AX268" s="35"/>
      <c r="AZ268" s="6"/>
      <c r="BA268" s="6"/>
      <c r="BB268" s="6"/>
      <c r="BD268" s="35"/>
      <c r="BE268" s="6"/>
    </row>
    <row r="269" spans="1:57" x14ac:dyDescent="0.25">
      <c r="A269" s="6">
        <f t="shared" si="13"/>
        <v>56</v>
      </c>
      <c r="B269" s="255">
        <f t="shared" si="15"/>
        <v>0</v>
      </c>
      <c r="C269" s="256"/>
      <c r="D269" s="256"/>
      <c r="E269" s="256"/>
      <c r="F269" s="256"/>
      <c r="G269" s="256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56"/>
      <c r="W269" s="25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167"/>
      <c r="AR269" s="174"/>
      <c r="AS269" s="35"/>
      <c r="AT269" s="35"/>
      <c r="AU269" s="35"/>
      <c r="AV269" s="35"/>
      <c r="AX269" s="35"/>
      <c r="AZ269" s="6"/>
      <c r="BA269" s="6"/>
      <c r="BB269" s="6"/>
      <c r="BD269" s="35"/>
      <c r="BE269" s="6"/>
    </row>
    <row r="270" spans="1:57" x14ac:dyDescent="0.25">
      <c r="A270" s="6">
        <f t="shared" si="13"/>
        <v>57</v>
      </c>
      <c r="B270" s="255">
        <f t="shared" si="15"/>
        <v>0</v>
      </c>
      <c r="C270" s="256"/>
      <c r="D270" s="256"/>
      <c r="E270" s="256"/>
      <c r="F270" s="256"/>
      <c r="G270" s="256"/>
      <c r="H270" s="256"/>
      <c r="I270" s="256"/>
      <c r="J270" s="256"/>
      <c r="K270" s="256"/>
      <c r="L270" s="256"/>
      <c r="M270" s="256"/>
      <c r="N270" s="256"/>
      <c r="O270" s="256"/>
      <c r="P270" s="256"/>
      <c r="Q270" s="256"/>
      <c r="R270" s="256"/>
      <c r="S270" s="256"/>
      <c r="T270" s="256"/>
      <c r="U270" s="256"/>
      <c r="V270" s="256"/>
      <c r="W270" s="25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167"/>
      <c r="AR270" s="174"/>
      <c r="AS270" s="35"/>
      <c r="AT270" s="35"/>
      <c r="AU270" s="35"/>
      <c r="AV270" s="35"/>
      <c r="AX270" s="35"/>
      <c r="AZ270" s="6"/>
      <c r="BA270" s="6"/>
      <c r="BB270" s="6"/>
      <c r="BD270" s="35"/>
      <c r="BE270" s="6"/>
    </row>
    <row r="271" spans="1:57" x14ac:dyDescent="0.25">
      <c r="A271" s="6">
        <f t="shared" si="13"/>
        <v>58</v>
      </c>
      <c r="B271" s="255">
        <f t="shared" si="15"/>
        <v>0</v>
      </c>
      <c r="C271" s="256"/>
      <c r="D271" s="256"/>
      <c r="E271" s="256"/>
      <c r="F271" s="256"/>
      <c r="G271" s="256"/>
      <c r="H271" s="256"/>
      <c r="I271" s="256"/>
      <c r="J271" s="256"/>
      <c r="K271" s="256"/>
      <c r="L271" s="256"/>
      <c r="M271" s="256"/>
      <c r="N271" s="256"/>
      <c r="O271" s="256"/>
      <c r="P271" s="256"/>
      <c r="Q271" s="256"/>
      <c r="R271" s="256"/>
      <c r="S271" s="256"/>
      <c r="T271" s="256"/>
      <c r="U271" s="256"/>
      <c r="V271" s="256"/>
      <c r="W271" s="25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167"/>
      <c r="AR271" s="174"/>
      <c r="AS271" s="35"/>
      <c r="AT271" s="35"/>
      <c r="AU271" s="35"/>
      <c r="AV271" s="35"/>
      <c r="AX271" s="35"/>
      <c r="AZ271" s="6"/>
      <c r="BA271" s="6"/>
      <c r="BB271" s="6"/>
      <c r="BD271" s="35"/>
      <c r="BE271" s="6"/>
    </row>
    <row r="272" spans="1:57" x14ac:dyDescent="0.25">
      <c r="A272" s="6">
        <f t="shared" si="13"/>
        <v>59</v>
      </c>
      <c r="B272" s="255">
        <f t="shared" si="15"/>
        <v>0</v>
      </c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  <c r="P272" s="256"/>
      <c r="Q272" s="256"/>
      <c r="R272" s="256"/>
      <c r="S272" s="256"/>
      <c r="T272" s="256"/>
      <c r="U272" s="256"/>
      <c r="V272" s="256"/>
      <c r="W272" s="25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167"/>
      <c r="AR272" s="174"/>
      <c r="AS272" s="35"/>
      <c r="AT272" s="35"/>
      <c r="AU272" s="35"/>
      <c r="AV272" s="35"/>
      <c r="AX272" s="35"/>
      <c r="AZ272" s="6"/>
      <c r="BA272" s="6"/>
      <c r="BB272" s="6"/>
      <c r="BD272" s="35"/>
      <c r="BE272" s="6"/>
    </row>
    <row r="273" spans="1:57" x14ac:dyDescent="0.25">
      <c r="A273" s="6">
        <f t="shared" si="13"/>
        <v>60</v>
      </c>
      <c r="B273" s="255">
        <f t="shared" si="15"/>
        <v>0</v>
      </c>
      <c r="C273" s="256"/>
      <c r="D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256"/>
      <c r="O273" s="256"/>
      <c r="P273" s="256"/>
      <c r="Q273" s="256"/>
      <c r="R273" s="256"/>
      <c r="S273" s="256"/>
      <c r="T273" s="256"/>
      <c r="U273" s="256"/>
      <c r="V273" s="256"/>
      <c r="W273" s="25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167"/>
      <c r="AR273" s="174"/>
      <c r="AS273" s="35"/>
      <c r="AT273" s="35"/>
      <c r="AU273" s="35"/>
      <c r="AV273" s="35"/>
      <c r="AX273" s="35"/>
      <c r="AZ273" s="6"/>
      <c r="BA273" s="6"/>
      <c r="BB273" s="6"/>
      <c r="BD273" s="35"/>
      <c r="BE273" s="6"/>
    </row>
    <row r="274" spans="1:57" x14ac:dyDescent="0.25">
      <c r="A274" s="6">
        <f t="shared" si="13"/>
        <v>61</v>
      </c>
      <c r="B274" s="255">
        <f t="shared" si="15"/>
        <v>0</v>
      </c>
      <c r="C274" s="256"/>
      <c r="D274" s="256"/>
      <c r="E274" s="256"/>
      <c r="F274" s="256"/>
      <c r="G274" s="256"/>
      <c r="H274" s="256"/>
      <c r="I274" s="256"/>
      <c r="J274" s="256"/>
      <c r="K274" s="256"/>
      <c r="L274" s="256"/>
      <c r="M274" s="256"/>
      <c r="N274" s="256"/>
      <c r="O274" s="256"/>
      <c r="P274" s="256"/>
      <c r="Q274" s="256"/>
      <c r="R274" s="256"/>
      <c r="S274" s="256"/>
      <c r="T274" s="256"/>
      <c r="U274" s="256"/>
      <c r="V274" s="256"/>
      <c r="W274" s="25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167"/>
      <c r="AR274" s="174"/>
      <c r="AS274" s="35"/>
      <c r="AT274" s="35"/>
      <c r="AU274" s="35"/>
      <c r="AV274" s="35"/>
      <c r="AX274" s="35"/>
      <c r="AZ274" s="6"/>
      <c r="BA274" s="6"/>
      <c r="BB274" s="6"/>
      <c r="BD274" s="35"/>
      <c r="BE274" s="6"/>
    </row>
    <row r="275" spans="1:57" x14ac:dyDescent="0.25">
      <c r="A275" s="6">
        <f t="shared" si="13"/>
        <v>62</v>
      </c>
      <c r="B275" s="255">
        <f t="shared" si="15"/>
        <v>0</v>
      </c>
      <c r="C275" s="256"/>
      <c r="D275" s="256"/>
      <c r="E275" s="256"/>
      <c r="F275" s="256"/>
      <c r="G275" s="256"/>
      <c r="H275" s="256"/>
      <c r="I275" s="256"/>
      <c r="J275" s="256"/>
      <c r="K275" s="256"/>
      <c r="L275" s="256"/>
      <c r="M275" s="256"/>
      <c r="N275" s="256"/>
      <c r="O275" s="256"/>
      <c r="P275" s="256"/>
      <c r="Q275" s="256"/>
      <c r="R275" s="256"/>
      <c r="S275" s="256"/>
      <c r="T275" s="256"/>
      <c r="U275" s="256"/>
      <c r="V275" s="256"/>
      <c r="W275" s="25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167"/>
      <c r="AR275" s="174"/>
      <c r="AS275" s="35"/>
      <c r="AT275" s="35"/>
      <c r="AU275" s="35"/>
      <c r="AV275" s="35"/>
      <c r="AX275" s="35"/>
      <c r="AZ275" s="6"/>
      <c r="BA275" s="6"/>
      <c r="BB275" s="6"/>
      <c r="BD275" s="35"/>
      <c r="BE275" s="6"/>
    </row>
    <row r="276" spans="1:57" x14ac:dyDescent="0.25"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167"/>
      <c r="AR276" s="174"/>
      <c r="AS276" s="35"/>
      <c r="AT276" s="35"/>
      <c r="AU276" s="35"/>
      <c r="AV276" s="35"/>
      <c r="AX276" s="35"/>
      <c r="AZ276" s="6"/>
      <c r="BA276" s="6"/>
      <c r="BB276" s="6"/>
      <c r="BD276" s="35"/>
      <c r="BE276" s="6"/>
    </row>
    <row r="277" spans="1:57" x14ac:dyDescent="0.25"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167"/>
      <c r="AR277" s="174"/>
      <c r="AS277" s="35"/>
      <c r="AT277" s="35"/>
      <c r="AU277" s="35"/>
      <c r="AV277" s="35"/>
      <c r="AX277" s="35"/>
      <c r="AZ277" s="6"/>
      <c r="BA277" s="6"/>
      <c r="BB277" s="6"/>
      <c r="BD277" s="35"/>
      <c r="BE277" s="6"/>
    </row>
    <row r="278" spans="1:57" x14ac:dyDescent="0.25">
      <c r="AL278" s="35"/>
      <c r="AQ278" s="167"/>
      <c r="AR278" s="174"/>
    </row>
    <row r="279" spans="1:57" x14ac:dyDescent="0.25">
      <c r="AL279" s="35"/>
      <c r="AQ279" s="167"/>
      <c r="AR279" s="174"/>
    </row>
    <row r="280" spans="1:57" x14ac:dyDescent="0.25">
      <c r="AL280" s="35"/>
      <c r="AQ280" s="167"/>
      <c r="AR280" s="174"/>
    </row>
    <row r="281" spans="1:57" x14ac:dyDescent="0.25">
      <c r="AL281" s="35"/>
      <c r="AQ281" s="167"/>
      <c r="AR281" s="174"/>
    </row>
    <row r="282" spans="1:57" x14ac:dyDescent="0.25">
      <c r="AL282" s="35"/>
      <c r="AQ282" s="167"/>
      <c r="AR282" s="174"/>
    </row>
    <row r="283" spans="1:57" x14ac:dyDescent="0.25">
      <c r="AL283" s="35"/>
      <c r="AQ283" s="167"/>
      <c r="AR283" s="174"/>
    </row>
    <row r="284" spans="1:57" x14ac:dyDescent="0.25">
      <c r="AL284" s="35"/>
      <c r="AQ284" s="167"/>
      <c r="AR284" s="174"/>
    </row>
    <row r="285" spans="1:57" x14ac:dyDescent="0.25">
      <c r="AL285" s="35"/>
      <c r="AQ285" s="167"/>
      <c r="AR285" s="174"/>
    </row>
    <row r="286" spans="1:57" s="35" customFormat="1" x14ac:dyDescent="0.25">
      <c r="AF286" s="174"/>
      <c r="AQ286" s="167"/>
      <c r="AR286" s="174"/>
      <c r="BA286" s="187"/>
    </row>
    <row r="287" spans="1:57" x14ac:dyDescent="0.25">
      <c r="AL287" s="35"/>
      <c r="AQ287" s="167"/>
      <c r="AR287" s="174"/>
    </row>
    <row r="288" spans="1:57" x14ac:dyDescent="0.25">
      <c r="AL288" s="35"/>
      <c r="AQ288" s="167"/>
      <c r="AR288" s="174"/>
    </row>
    <row r="289" spans="38:44" x14ac:dyDescent="0.25">
      <c r="AL289" s="35"/>
      <c r="AQ289" s="167"/>
      <c r="AR289" s="174"/>
    </row>
    <row r="290" spans="38:44" x14ac:dyDescent="0.25">
      <c r="AL290" s="35"/>
      <c r="AQ290" s="167"/>
      <c r="AR290" s="174"/>
    </row>
    <row r="291" spans="38:44" x14ac:dyDescent="0.25">
      <c r="AL291" s="35"/>
      <c r="AQ291" s="167"/>
      <c r="AR291" s="174"/>
    </row>
    <row r="292" spans="38:44" x14ac:dyDescent="0.25">
      <c r="AL292" s="35"/>
      <c r="AQ292" s="167"/>
      <c r="AR292" s="174"/>
    </row>
    <row r="293" spans="38:44" x14ac:dyDescent="0.25">
      <c r="AL293" s="35"/>
      <c r="AQ293" s="167"/>
      <c r="AR293" s="174"/>
    </row>
    <row r="294" spans="38:44" x14ac:dyDescent="0.25">
      <c r="AL294" s="35"/>
      <c r="AQ294" s="167"/>
      <c r="AR294" s="174"/>
    </row>
    <row r="295" spans="38:44" x14ac:dyDescent="0.25">
      <c r="AL295" s="35"/>
      <c r="AQ295" s="167"/>
      <c r="AR295" s="174"/>
    </row>
    <row r="296" spans="38:44" x14ac:dyDescent="0.25">
      <c r="AL296" s="35"/>
      <c r="AQ296" s="167"/>
      <c r="AR296" s="174"/>
    </row>
    <row r="297" spans="38:44" x14ac:dyDescent="0.25">
      <c r="AL297" s="35"/>
      <c r="AQ297" s="167"/>
      <c r="AR297" s="174"/>
    </row>
    <row r="298" spans="38:44" x14ac:dyDescent="0.25">
      <c r="AL298" s="35"/>
      <c r="AQ298" s="167"/>
      <c r="AR298" s="174"/>
    </row>
    <row r="299" spans="38:44" x14ac:dyDescent="0.25">
      <c r="AL299" s="35"/>
      <c r="AQ299" s="167"/>
      <c r="AR299" s="174"/>
    </row>
    <row r="300" spans="38:44" x14ac:dyDescent="0.25">
      <c r="AL300" s="35"/>
      <c r="AQ300" s="167"/>
      <c r="AR300" s="174"/>
    </row>
    <row r="301" spans="38:44" x14ac:dyDescent="0.25">
      <c r="AL301" s="35"/>
      <c r="AQ301" s="167"/>
      <c r="AR301" s="174"/>
    </row>
    <row r="302" spans="38:44" x14ac:dyDescent="0.25">
      <c r="AL302" s="35"/>
      <c r="AQ302" s="167"/>
      <c r="AR302" s="174"/>
    </row>
    <row r="303" spans="38:44" x14ac:dyDescent="0.25">
      <c r="AL303" s="35"/>
      <c r="AQ303" s="167"/>
      <c r="AR303" s="174"/>
    </row>
    <row r="304" spans="38:44" x14ac:dyDescent="0.25">
      <c r="AL304" s="35"/>
      <c r="AQ304" s="167"/>
      <c r="AR304" s="174"/>
    </row>
    <row r="305" spans="38:44" x14ac:dyDescent="0.25">
      <c r="AL305" s="35"/>
      <c r="AQ305" s="167"/>
      <c r="AR305" s="174"/>
    </row>
    <row r="306" spans="38:44" x14ac:dyDescent="0.25">
      <c r="AL306" s="35"/>
      <c r="AQ306" s="167"/>
      <c r="AR306" s="174"/>
    </row>
    <row r="307" spans="38:44" x14ac:dyDescent="0.25">
      <c r="AL307" s="35"/>
      <c r="AQ307" s="167"/>
      <c r="AR307" s="174"/>
    </row>
    <row r="308" spans="38:44" x14ac:dyDescent="0.25">
      <c r="AL308" s="35"/>
      <c r="AQ308" s="167"/>
      <c r="AR308" s="174"/>
    </row>
    <row r="309" spans="38:44" x14ac:dyDescent="0.25">
      <c r="AL309" s="35"/>
      <c r="AQ309" s="167"/>
      <c r="AR309" s="174"/>
    </row>
    <row r="310" spans="38:44" x14ac:dyDescent="0.25">
      <c r="AL310" s="35"/>
      <c r="AQ310" s="167"/>
      <c r="AR310" s="174"/>
    </row>
    <row r="311" spans="38:44" x14ac:dyDescent="0.25">
      <c r="AL311" s="35"/>
      <c r="AQ311" s="167"/>
      <c r="AR311" s="174"/>
    </row>
    <row r="312" spans="38:44" x14ac:dyDescent="0.25">
      <c r="AL312" s="35"/>
      <c r="AQ312" s="167"/>
      <c r="AR312" s="174"/>
    </row>
    <row r="313" spans="38:44" x14ac:dyDescent="0.25">
      <c r="AL313" s="35"/>
      <c r="AQ313" s="167"/>
      <c r="AR313" s="174"/>
    </row>
    <row r="314" spans="38:44" x14ac:dyDescent="0.25">
      <c r="AL314" s="35"/>
      <c r="AQ314" s="167"/>
      <c r="AR314" s="174"/>
    </row>
    <row r="315" spans="38:44" x14ac:dyDescent="0.25">
      <c r="AL315" s="35"/>
      <c r="AQ315" s="167"/>
      <c r="AR315" s="174"/>
    </row>
    <row r="316" spans="38:44" x14ac:dyDescent="0.25">
      <c r="AL316" s="35"/>
      <c r="AQ316" s="167"/>
      <c r="AR316" s="174"/>
    </row>
    <row r="317" spans="38:44" x14ac:dyDescent="0.25">
      <c r="AL317" s="35"/>
      <c r="AQ317" s="167"/>
      <c r="AR317" s="174"/>
    </row>
    <row r="318" spans="38:44" x14ac:dyDescent="0.25">
      <c r="AL318" s="35"/>
      <c r="AQ318" s="167"/>
      <c r="AR318" s="174"/>
    </row>
    <row r="319" spans="38:44" x14ac:dyDescent="0.25">
      <c r="AL319" s="35"/>
      <c r="AQ319" s="167"/>
      <c r="AR319" s="174"/>
    </row>
    <row r="320" spans="38:44" x14ac:dyDescent="0.25">
      <c r="AL320" s="35"/>
      <c r="AQ320" s="167"/>
      <c r="AR320" s="174"/>
    </row>
    <row r="321" spans="38:44" x14ac:dyDescent="0.25">
      <c r="AL321" s="35"/>
      <c r="AQ321" s="167"/>
      <c r="AR321" s="174"/>
    </row>
    <row r="322" spans="38:44" x14ac:dyDescent="0.25">
      <c r="AL322" s="35"/>
      <c r="AQ322" s="167"/>
      <c r="AR322" s="174"/>
    </row>
    <row r="323" spans="38:44" x14ac:dyDescent="0.25">
      <c r="AL323" s="35"/>
      <c r="AQ323" s="167"/>
      <c r="AR323" s="174"/>
    </row>
    <row r="324" spans="38:44" x14ac:dyDescent="0.25">
      <c r="AL324" s="35"/>
      <c r="AQ324" s="167"/>
      <c r="AR324" s="174"/>
    </row>
    <row r="325" spans="38:44" x14ac:dyDescent="0.25">
      <c r="AL325" s="35"/>
      <c r="AQ325" s="167"/>
      <c r="AR325" s="174"/>
    </row>
    <row r="326" spans="38:44" x14ac:dyDescent="0.25">
      <c r="AL326" s="35"/>
      <c r="AQ326" s="167"/>
      <c r="AR326" s="174"/>
    </row>
    <row r="327" spans="38:44" x14ac:dyDescent="0.25">
      <c r="AL327" s="35"/>
      <c r="AQ327" s="167"/>
      <c r="AR327" s="174"/>
    </row>
    <row r="328" spans="38:44" x14ac:dyDescent="0.25">
      <c r="AL328" s="35"/>
      <c r="AQ328" s="167"/>
      <c r="AR328" s="174"/>
    </row>
    <row r="329" spans="38:44" x14ac:dyDescent="0.25">
      <c r="AL329" s="35"/>
      <c r="AQ329" s="167"/>
      <c r="AR329" s="174"/>
    </row>
    <row r="330" spans="38:44" x14ac:dyDescent="0.25">
      <c r="AL330" s="35"/>
      <c r="AQ330" s="167"/>
      <c r="AR330" s="174"/>
    </row>
    <row r="331" spans="38:44" x14ac:dyDescent="0.25">
      <c r="AL331" s="35"/>
      <c r="AQ331" s="167"/>
      <c r="AR331" s="174"/>
    </row>
    <row r="332" spans="38:44" x14ac:dyDescent="0.25">
      <c r="AL332" s="35"/>
      <c r="AQ332" s="167"/>
      <c r="AR332" s="174"/>
    </row>
    <row r="333" spans="38:44" x14ac:dyDescent="0.25">
      <c r="AL333" s="35"/>
      <c r="AQ333" s="167"/>
      <c r="AR333" s="174"/>
    </row>
    <row r="334" spans="38:44" x14ac:dyDescent="0.25">
      <c r="AL334" s="35"/>
      <c r="AQ334" s="167"/>
      <c r="AR334" s="174"/>
    </row>
    <row r="335" spans="38:44" x14ac:dyDescent="0.25">
      <c r="AL335" s="35"/>
      <c r="AQ335" s="167"/>
      <c r="AR335" s="174"/>
    </row>
    <row r="336" spans="38:44" x14ac:dyDescent="0.25">
      <c r="AL336" s="35"/>
      <c r="AQ336" s="167"/>
      <c r="AR336" s="174"/>
    </row>
    <row r="337" spans="38:44" x14ac:dyDescent="0.25">
      <c r="AL337" s="35"/>
      <c r="AQ337" s="167"/>
      <c r="AR337" s="174"/>
    </row>
    <row r="338" spans="38:44" x14ac:dyDescent="0.25">
      <c r="AL338" s="35"/>
      <c r="AQ338" s="167"/>
      <c r="AR338" s="174"/>
    </row>
    <row r="339" spans="38:44" x14ac:dyDescent="0.25">
      <c r="AL339" s="35"/>
      <c r="AQ339" s="167"/>
      <c r="AR339" s="174"/>
    </row>
    <row r="340" spans="38:44" x14ac:dyDescent="0.25">
      <c r="AL340" s="35"/>
      <c r="AQ340" s="167"/>
      <c r="AR340" s="174"/>
    </row>
    <row r="341" spans="38:44" x14ac:dyDescent="0.25">
      <c r="AL341" s="35"/>
      <c r="AQ341" s="167"/>
      <c r="AR341" s="174"/>
    </row>
    <row r="342" spans="38:44" x14ac:dyDescent="0.25">
      <c r="AL342" s="35"/>
      <c r="AQ342" s="167"/>
      <c r="AR342" s="174"/>
    </row>
    <row r="343" spans="38:44" x14ac:dyDescent="0.25">
      <c r="AL343" s="35"/>
      <c r="AQ343" s="167"/>
      <c r="AR343" s="174"/>
    </row>
    <row r="344" spans="38:44" x14ac:dyDescent="0.25">
      <c r="AL344" s="35"/>
      <c r="AQ344" s="167"/>
      <c r="AR344" s="174"/>
    </row>
    <row r="345" spans="38:44" x14ac:dyDescent="0.25">
      <c r="AL345" s="35"/>
      <c r="AQ345" s="167"/>
      <c r="AR345" s="174"/>
    </row>
    <row r="346" spans="38:44" x14ac:dyDescent="0.25">
      <c r="AL346" s="35"/>
      <c r="AQ346" s="167"/>
      <c r="AR346" s="174"/>
    </row>
    <row r="347" spans="38:44" x14ac:dyDescent="0.25">
      <c r="AL347" s="35"/>
      <c r="AQ347" s="167"/>
      <c r="AR347" s="174"/>
    </row>
    <row r="348" spans="38:44" x14ac:dyDescent="0.25">
      <c r="AL348" s="35"/>
      <c r="AQ348" s="167"/>
      <c r="AR348" s="174"/>
    </row>
    <row r="349" spans="38:44" x14ac:dyDescent="0.25">
      <c r="AL349" s="35"/>
      <c r="AQ349" s="167"/>
      <c r="AR349" s="174"/>
    </row>
    <row r="350" spans="38:44" x14ac:dyDescent="0.25">
      <c r="AL350" s="35"/>
      <c r="AQ350" s="167"/>
      <c r="AR350" s="174"/>
    </row>
    <row r="351" spans="38:44" x14ac:dyDescent="0.25">
      <c r="AL351" s="35"/>
      <c r="AQ351" s="167"/>
      <c r="AR351" s="174"/>
    </row>
    <row r="352" spans="38:44" x14ac:dyDescent="0.25">
      <c r="AL352" s="35"/>
      <c r="AQ352" s="167"/>
      <c r="AR352" s="174"/>
    </row>
    <row r="353" spans="38:44" x14ac:dyDescent="0.25">
      <c r="AL353" s="35"/>
      <c r="AQ353" s="167"/>
      <c r="AR353" s="174"/>
    </row>
    <row r="354" spans="38:44" x14ac:dyDescent="0.25">
      <c r="AL354" s="35"/>
      <c r="AQ354" s="167"/>
      <c r="AR354" s="174"/>
    </row>
    <row r="355" spans="38:44" x14ac:dyDescent="0.25">
      <c r="AL355" s="35"/>
      <c r="AQ355" s="167"/>
      <c r="AR355" s="174"/>
    </row>
    <row r="356" spans="38:44" x14ac:dyDescent="0.25">
      <c r="AL356" s="35"/>
      <c r="AQ356" s="167"/>
      <c r="AR356" s="174"/>
    </row>
    <row r="357" spans="38:44" x14ac:dyDescent="0.25">
      <c r="AL357" s="35"/>
      <c r="AQ357" s="167"/>
      <c r="AR357" s="174"/>
    </row>
    <row r="358" spans="38:44" x14ac:dyDescent="0.25">
      <c r="AL358" s="35"/>
      <c r="AQ358" s="167"/>
      <c r="AR358" s="174"/>
    </row>
    <row r="359" spans="38:44" x14ac:dyDescent="0.25">
      <c r="AL359" s="35"/>
      <c r="AQ359" s="167"/>
      <c r="AR359" s="174"/>
    </row>
    <row r="360" spans="38:44" x14ac:dyDescent="0.25">
      <c r="AL360" s="35"/>
      <c r="AQ360" s="167"/>
      <c r="AR360" s="174"/>
    </row>
    <row r="361" spans="38:44" x14ac:dyDescent="0.25">
      <c r="AL361" s="35"/>
      <c r="AQ361" s="167"/>
      <c r="AR361" s="174"/>
    </row>
    <row r="362" spans="38:44" x14ac:dyDescent="0.25">
      <c r="AL362" s="35"/>
      <c r="AQ362" s="167"/>
      <c r="AR362" s="174"/>
    </row>
    <row r="363" spans="38:44" x14ac:dyDescent="0.25">
      <c r="AL363" s="35"/>
      <c r="AQ363" s="167"/>
      <c r="AR363" s="174"/>
    </row>
    <row r="364" spans="38:44" x14ac:dyDescent="0.25">
      <c r="AL364" s="35"/>
      <c r="AQ364" s="167"/>
      <c r="AR364" s="174"/>
    </row>
    <row r="365" spans="38:44" x14ac:dyDescent="0.25">
      <c r="AL365" s="35"/>
      <c r="AQ365" s="167"/>
      <c r="AR365" s="174"/>
    </row>
    <row r="366" spans="38:44" x14ac:dyDescent="0.25">
      <c r="AL366" s="35"/>
      <c r="AQ366" s="167"/>
      <c r="AR366" s="174"/>
    </row>
    <row r="367" spans="38:44" x14ac:dyDescent="0.25">
      <c r="AL367" s="35"/>
      <c r="AQ367" s="167"/>
      <c r="AR367" s="174"/>
    </row>
    <row r="368" spans="38:44" x14ac:dyDescent="0.25">
      <c r="AL368" s="35"/>
      <c r="AQ368" s="167"/>
      <c r="AR368" s="174"/>
    </row>
    <row r="369" spans="38:44" x14ac:dyDescent="0.25">
      <c r="AL369" s="35"/>
      <c r="AQ369" s="167"/>
      <c r="AR369" s="174"/>
    </row>
    <row r="370" spans="38:44" x14ac:dyDescent="0.25">
      <c r="AL370" s="35"/>
      <c r="AQ370" s="167"/>
      <c r="AR370" s="174"/>
    </row>
    <row r="371" spans="38:44" x14ac:dyDescent="0.25">
      <c r="AL371" s="35"/>
      <c r="AQ371" s="167"/>
      <c r="AR371" s="174"/>
    </row>
    <row r="372" spans="38:44" x14ac:dyDescent="0.25">
      <c r="AL372" s="35"/>
      <c r="AQ372" s="167"/>
      <c r="AR372" s="174"/>
    </row>
    <row r="373" spans="38:44" x14ac:dyDescent="0.25">
      <c r="AL373" s="35"/>
      <c r="AQ373" s="167"/>
      <c r="AR373" s="174"/>
    </row>
    <row r="374" spans="38:44" x14ac:dyDescent="0.25">
      <c r="AL374" s="35"/>
      <c r="AQ374" s="167"/>
      <c r="AR374" s="174"/>
    </row>
    <row r="375" spans="38:44" x14ac:dyDescent="0.25">
      <c r="AL375" s="35"/>
      <c r="AQ375" s="167"/>
      <c r="AR375" s="174"/>
    </row>
    <row r="376" spans="38:44" x14ac:dyDescent="0.25">
      <c r="AL376" s="35"/>
      <c r="AQ376" s="167"/>
      <c r="AR376" s="174"/>
    </row>
    <row r="377" spans="38:44" x14ac:dyDescent="0.25">
      <c r="AL377" s="35"/>
      <c r="AQ377" s="167"/>
      <c r="AR377" s="174"/>
    </row>
    <row r="378" spans="38:44" x14ac:dyDescent="0.25">
      <c r="AL378" s="35"/>
      <c r="AQ378" s="167"/>
      <c r="AR378" s="174"/>
    </row>
    <row r="379" spans="38:44" x14ac:dyDescent="0.25">
      <c r="AL379" s="35"/>
      <c r="AQ379" s="167"/>
      <c r="AR379" s="174"/>
    </row>
    <row r="380" spans="38:44" x14ac:dyDescent="0.25">
      <c r="AL380" s="35"/>
      <c r="AQ380" s="167"/>
      <c r="AR380" s="174"/>
    </row>
    <row r="381" spans="38:44" x14ac:dyDescent="0.25">
      <c r="AL381" s="35"/>
      <c r="AQ381" s="167"/>
      <c r="AR381" s="174"/>
    </row>
    <row r="382" spans="38:44" x14ac:dyDescent="0.25">
      <c r="AL382" s="35"/>
      <c r="AQ382" s="167"/>
      <c r="AR382" s="174"/>
    </row>
    <row r="383" spans="38:44" x14ac:dyDescent="0.25">
      <c r="AL383" s="35"/>
      <c r="AQ383" s="167"/>
      <c r="AR383" s="174"/>
    </row>
    <row r="384" spans="38:44" x14ac:dyDescent="0.25">
      <c r="AL384" s="35"/>
      <c r="AQ384" s="167"/>
      <c r="AR384" s="174"/>
    </row>
    <row r="385" spans="38:44" x14ac:dyDescent="0.25">
      <c r="AL385" s="35"/>
      <c r="AQ385" s="167"/>
      <c r="AR385" s="174"/>
    </row>
    <row r="386" spans="38:44" x14ac:dyDescent="0.25">
      <c r="AL386" s="35"/>
      <c r="AQ386" s="167"/>
      <c r="AR386" s="174"/>
    </row>
    <row r="387" spans="38:44" x14ac:dyDescent="0.25">
      <c r="AL387" s="35"/>
      <c r="AQ387" s="167"/>
      <c r="AR387" s="174"/>
    </row>
    <row r="388" spans="38:44" x14ac:dyDescent="0.25">
      <c r="AL388" s="35"/>
      <c r="AQ388" s="167"/>
      <c r="AR388" s="174"/>
    </row>
    <row r="389" spans="38:44" x14ac:dyDescent="0.25">
      <c r="AL389" s="35"/>
      <c r="AQ389" s="167"/>
      <c r="AR389" s="174"/>
    </row>
    <row r="390" spans="38:44" x14ac:dyDescent="0.25">
      <c r="AL390" s="35"/>
      <c r="AQ390" s="167"/>
      <c r="AR390" s="174"/>
    </row>
    <row r="391" spans="38:44" x14ac:dyDescent="0.25">
      <c r="AL391" s="35"/>
      <c r="AQ391" s="167"/>
      <c r="AR391" s="174"/>
    </row>
    <row r="392" spans="38:44" x14ac:dyDescent="0.25">
      <c r="AL392" s="35"/>
      <c r="AQ392" s="167"/>
      <c r="AR392" s="174"/>
    </row>
    <row r="393" spans="38:44" x14ac:dyDescent="0.25">
      <c r="AL393" s="35"/>
      <c r="AQ393" s="167"/>
      <c r="AR393" s="174"/>
    </row>
    <row r="394" spans="38:44" x14ac:dyDescent="0.25">
      <c r="AL394" s="35"/>
      <c r="AQ394" s="167"/>
      <c r="AR394" s="174"/>
    </row>
    <row r="395" spans="38:44" x14ac:dyDescent="0.25">
      <c r="AL395" s="35"/>
      <c r="AQ395" s="167"/>
      <c r="AR395" s="174"/>
    </row>
    <row r="396" spans="38:44" x14ac:dyDescent="0.25">
      <c r="AL396" s="35"/>
      <c r="AQ396" s="167"/>
      <c r="AR396" s="174"/>
    </row>
    <row r="397" spans="38:44" x14ac:dyDescent="0.25">
      <c r="AL397" s="35"/>
      <c r="AQ397" s="167"/>
      <c r="AR397" s="174"/>
    </row>
    <row r="398" spans="38:44" x14ac:dyDescent="0.25">
      <c r="AL398" s="35"/>
      <c r="AQ398" s="167"/>
      <c r="AR398" s="174"/>
    </row>
    <row r="399" spans="38:44" x14ac:dyDescent="0.25">
      <c r="AL399" s="35"/>
      <c r="AQ399" s="167"/>
      <c r="AR399" s="174"/>
    </row>
    <row r="400" spans="38:44" x14ac:dyDescent="0.25">
      <c r="AL400" s="35"/>
      <c r="AQ400" s="167"/>
      <c r="AR400" s="174"/>
    </row>
    <row r="401" spans="38:44" x14ac:dyDescent="0.25">
      <c r="AL401" s="35"/>
      <c r="AQ401" s="167"/>
      <c r="AR401" s="174"/>
    </row>
    <row r="402" spans="38:44" x14ac:dyDescent="0.25">
      <c r="AL402" s="35"/>
      <c r="AQ402" s="167"/>
      <c r="AR402" s="174"/>
    </row>
    <row r="403" spans="38:44" x14ac:dyDescent="0.25">
      <c r="AL403" s="35"/>
      <c r="AQ403" s="167"/>
      <c r="AR403" s="174"/>
    </row>
    <row r="404" spans="38:44" x14ac:dyDescent="0.25">
      <c r="AL404" s="35"/>
      <c r="AQ404" s="167"/>
      <c r="AR404" s="174"/>
    </row>
    <row r="405" spans="38:44" x14ac:dyDescent="0.25">
      <c r="AL405" s="35"/>
      <c r="AQ405" s="167"/>
      <c r="AR405" s="174"/>
    </row>
    <row r="406" spans="38:44" x14ac:dyDescent="0.25">
      <c r="AL406" s="35"/>
      <c r="AQ406" s="167"/>
      <c r="AR406" s="174"/>
    </row>
    <row r="407" spans="38:44" x14ac:dyDescent="0.25">
      <c r="AL407" s="35"/>
      <c r="AQ407" s="167"/>
      <c r="AR407" s="174"/>
    </row>
    <row r="408" spans="38:44" x14ac:dyDescent="0.25">
      <c r="AL408" s="35"/>
      <c r="AQ408" s="167"/>
      <c r="AR408" s="174"/>
    </row>
    <row r="409" spans="38:44" x14ac:dyDescent="0.25">
      <c r="AL409" s="35"/>
      <c r="AQ409" s="167"/>
      <c r="AR409" s="174"/>
    </row>
    <row r="410" spans="38:44" x14ac:dyDescent="0.25">
      <c r="AL410" s="35"/>
      <c r="AQ410" s="167"/>
      <c r="AR410" s="174"/>
    </row>
    <row r="411" spans="38:44" x14ac:dyDescent="0.25">
      <c r="AL411" s="35"/>
      <c r="AQ411" s="167"/>
      <c r="AR411" s="174"/>
    </row>
    <row r="412" spans="38:44" x14ac:dyDescent="0.25">
      <c r="AL412" s="35"/>
      <c r="AQ412" s="167"/>
      <c r="AR412" s="174"/>
    </row>
    <row r="413" spans="38:44" x14ac:dyDescent="0.25">
      <c r="AL413" s="35"/>
      <c r="AQ413" s="167"/>
      <c r="AR413" s="174"/>
    </row>
    <row r="414" spans="38:44" x14ac:dyDescent="0.25">
      <c r="AL414" s="35"/>
      <c r="AQ414" s="167"/>
      <c r="AR414" s="174"/>
    </row>
    <row r="415" spans="38:44" x14ac:dyDescent="0.25">
      <c r="AL415" s="35"/>
      <c r="AQ415" s="167"/>
      <c r="AR415" s="174"/>
    </row>
    <row r="416" spans="38:44" x14ac:dyDescent="0.25">
      <c r="AL416" s="35"/>
      <c r="AQ416" s="167"/>
      <c r="AR416" s="174"/>
    </row>
    <row r="417" spans="38:44" x14ac:dyDescent="0.25">
      <c r="AL417" s="35"/>
      <c r="AQ417" s="167"/>
      <c r="AR417" s="174"/>
    </row>
    <row r="418" spans="38:44" x14ac:dyDescent="0.25">
      <c r="AL418" s="35"/>
      <c r="AQ418" s="167"/>
      <c r="AR418" s="174"/>
    </row>
    <row r="419" spans="38:44" x14ac:dyDescent="0.25">
      <c r="AL419" s="35"/>
      <c r="AQ419" s="167"/>
      <c r="AR419" s="174"/>
    </row>
    <row r="420" spans="38:44" x14ac:dyDescent="0.25">
      <c r="AQ420" s="167"/>
      <c r="AR420" s="174"/>
    </row>
    <row r="421" spans="38:44" x14ac:dyDescent="0.25">
      <c r="AQ421" s="167"/>
      <c r="AR421" s="174"/>
    </row>
    <row r="422" spans="38:44" x14ac:dyDescent="0.25">
      <c r="AQ422" s="167"/>
      <c r="AR422" s="174"/>
    </row>
    <row r="423" spans="38:44" x14ac:dyDescent="0.25">
      <c r="AQ423" s="167"/>
      <c r="AR423" s="174"/>
    </row>
    <row r="424" spans="38:44" x14ac:dyDescent="0.25">
      <c r="AQ424" s="167"/>
      <c r="AR424" s="174"/>
    </row>
    <row r="425" spans="38:44" x14ac:dyDescent="0.25">
      <c r="AQ425" s="167"/>
      <c r="AR425" s="174"/>
    </row>
    <row r="426" spans="38:44" x14ac:dyDescent="0.25">
      <c r="AQ426" s="167"/>
      <c r="AR426" s="174"/>
    </row>
    <row r="427" spans="38:44" x14ac:dyDescent="0.25">
      <c r="AQ427" s="167"/>
      <c r="AR427" s="174"/>
    </row>
    <row r="428" spans="38:44" x14ac:dyDescent="0.25">
      <c r="AQ428" s="167"/>
      <c r="AR428" s="174"/>
    </row>
    <row r="429" spans="38:44" x14ac:dyDescent="0.25">
      <c r="AQ429" s="167"/>
      <c r="AR429" s="174"/>
    </row>
    <row r="430" spans="38:44" x14ac:dyDescent="0.25">
      <c r="AQ430" s="167"/>
      <c r="AR430" s="174"/>
    </row>
    <row r="431" spans="38:44" x14ac:dyDescent="0.25">
      <c r="AQ431" s="167"/>
      <c r="AR431" s="174"/>
    </row>
    <row r="432" spans="38:44" x14ac:dyDescent="0.25">
      <c r="AQ432" s="167"/>
      <c r="AR432" s="174"/>
    </row>
    <row r="433" spans="43:44" x14ac:dyDescent="0.25">
      <c r="AQ433" s="167"/>
      <c r="AR433" s="174"/>
    </row>
    <row r="434" spans="43:44" x14ac:dyDescent="0.25">
      <c r="AQ434" s="167"/>
      <c r="AR434" s="174"/>
    </row>
    <row r="435" spans="43:44" x14ac:dyDescent="0.25">
      <c r="AQ435" s="167"/>
      <c r="AR435" s="174"/>
    </row>
    <row r="436" spans="43:44" x14ac:dyDescent="0.25">
      <c r="AQ436" s="167"/>
      <c r="AR436" s="174"/>
    </row>
    <row r="437" spans="43:44" x14ac:dyDescent="0.25">
      <c r="AQ437" s="167"/>
      <c r="AR437" s="174"/>
    </row>
    <row r="438" spans="43:44" x14ac:dyDescent="0.25">
      <c r="AQ438" s="167"/>
      <c r="AR438" s="174"/>
    </row>
    <row r="439" spans="43:44" x14ac:dyDescent="0.25">
      <c r="AQ439" s="167"/>
      <c r="AR439" s="174"/>
    </row>
    <row r="440" spans="43:44" x14ac:dyDescent="0.25">
      <c r="AQ440" s="167"/>
      <c r="AR440" s="174"/>
    </row>
    <row r="441" spans="43:44" x14ac:dyDescent="0.25">
      <c r="AQ441" s="167"/>
      <c r="AR441" s="174"/>
    </row>
    <row r="442" spans="43:44" x14ac:dyDescent="0.25">
      <c r="AQ442" s="167"/>
      <c r="AR442" s="174"/>
    </row>
    <row r="443" spans="43:44" x14ac:dyDescent="0.25">
      <c r="AQ443" s="167"/>
      <c r="AR443" s="174"/>
    </row>
    <row r="444" spans="43:44" x14ac:dyDescent="0.25">
      <c r="AQ444" s="167"/>
      <c r="AR444" s="174"/>
    </row>
    <row r="445" spans="43:44" x14ac:dyDescent="0.25">
      <c r="AQ445" s="167"/>
      <c r="AR445" s="174"/>
    </row>
    <row r="446" spans="43:44" x14ac:dyDescent="0.25">
      <c r="AQ446" s="167"/>
      <c r="AR446" s="174"/>
    </row>
    <row r="447" spans="43:44" x14ac:dyDescent="0.25">
      <c r="AQ447" s="167"/>
      <c r="AR447" s="174"/>
    </row>
    <row r="448" spans="43:44" x14ac:dyDescent="0.25">
      <c r="AQ448" s="167"/>
      <c r="AR448" s="174"/>
    </row>
    <row r="449" spans="43:44" x14ac:dyDescent="0.25">
      <c r="AQ449" s="167"/>
      <c r="AR449" s="174"/>
    </row>
    <row r="450" spans="43:44" x14ac:dyDescent="0.25">
      <c r="AQ450" s="167"/>
      <c r="AR450" s="174"/>
    </row>
    <row r="451" spans="43:44" x14ac:dyDescent="0.25">
      <c r="AQ451" s="167"/>
      <c r="AR451" s="174"/>
    </row>
    <row r="452" spans="43:44" x14ac:dyDescent="0.25">
      <c r="AQ452" s="167"/>
      <c r="AR452" s="174"/>
    </row>
    <row r="453" spans="43:44" x14ac:dyDescent="0.25">
      <c r="AQ453" s="167"/>
      <c r="AR453" s="174"/>
    </row>
    <row r="454" spans="43:44" x14ac:dyDescent="0.25">
      <c r="AQ454" s="167"/>
      <c r="AR454" s="174"/>
    </row>
    <row r="455" spans="43:44" x14ac:dyDescent="0.25">
      <c r="AQ455" s="167"/>
      <c r="AR455" s="174"/>
    </row>
    <row r="456" spans="43:44" x14ac:dyDescent="0.25">
      <c r="AQ456" s="167"/>
      <c r="AR456" s="174"/>
    </row>
    <row r="457" spans="43:44" x14ac:dyDescent="0.25">
      <c r="AQ457" s="167"/>
      <c r="AR457" s="174"/>
    </row>
    <row r="458" spans="43:44" x14ac:dyDescent="0.25">
      <c r="AQ458" s="167"/>
      <c r="AR458" s="174"/>
    </row>
    <row r="459" spans="43:44" x14ac:dyDescent="0.25">
      <c r="AQ459" s="167"/>
      <c r="AR459" s="174"/>
    </row>
    <row r="460" spans="43:44" x14ac:dyDescent="0.25">
      <c r="AQ460" s="167"/>
      <c r="AR460" s="174"/>
    </row>
    <row r="461" spans="43:44" x14ac:dyDescent="0.25">
      <c r="AQ461" s="167"/>
      <c r="AR461" s="174"/>
    </row>
    <row r="462" spans="43:44" x14ac:dyDescent="0.25">
      <c r="AQ462" s="167"/>
      <c r="AR462" s="174"/>
    </row>
    <row r="463" spans="43:44" x14ac:dyDescent="0.25">
      <c r="AQ463" s="167"/>
      <c r="AR463" s="174"/>
    </row>
    <row r="464" spans="43:44" x14ac:dyDescent="0.25">
      <c r="AQ464" s="167"/>
      <c r="AR464" s="174"/>
    </row>
    <row r="465" spans="43:44" x14ac:dyDescent="0.25">
      <c r="AQ465" s="167"/>
      <c r="AR465" s="174"/>
    </row>
    <row r="466" spans="43:44" x14ac:dyDescent="0.25">
      <c r="AQ466" s="167"/>
      <c r="AR466" s="174"/>
    </row>
    <row r="467" spans="43:44" x14ac:dyDescent="0.25">
      <c r="AQ467" s="167"/>
      <c r="AR467" s="174"/>
    </row>
    <row r="468" spans="43:44" x14ac:dyDescent="0.25">
      <c r="AQ468" s="167"/>
      <c r="AR468" s="174"/>
    </row>
    <row r="469" spans="43:44" x14ac:dyDescent="0.25">
      <c r="AQ469" s="167"/>
      <c r="AR469" s="174"/>
    </row>
    <row r="470" spans="43:44" x14ac:dyDescent="0.25">
      <c r="AQ470" s="167"/>
      <c r="AR470" s="174"/>
    </row>
    <row r="471" spans="43:44" x14ac:dyDescent="0.25">
      <c r="AQ471" s="167"/>
      <c r="AR471" s="174"/>
    </row>
    <row r="472" spans="43:44" x14ac:dyDescent="0.25">
      <c r="AQ472" s="167"/>
      <c r="AR472" s="174"/>
    </row>
    <row r="473" spans="43:44" x14ac:dyDescent="0.25">
      <c r="AQ473" s="167"/>
      <c r="AR473" s="174"/>
    </row>
  </sheetData>
  <dataConsolidate/>
  <customSheetViews>
    <customSheetView guid="{A4778A62-A982-48A3-AF38-C778656415AB}" topLeftCell="A181">
      <selection activeCell="AG228" sqref="AG228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mergeCells count="71">
    <mergeCell ref="AC70:AD70"/>
    <mergeCell ref="AC67:AK67"/>
    <mergeCell ref="AC68:AD68"/>
    <mergeCell ref="AE68:AF68"/>
    <mergeCell ref="AI68:AK68"/>
    <mergeCell ref="AC69:AD69"/>
    <mergeCell ref="AE69:AF69"/>
    <mergeCell ref="AI69:AK69"/>
    <mergeCell ref="AI57:AK57"/>
    <mergeCell ref="AI58:AK58"/>
    <mergeCell ref="AC66:AK66"/>
    <mergeCell ref="AH213:AI213"/>
    <mergeCell ref="AI216:AJ216"/>
    <mergeCell ref="AI70:AK70"/>
    <mergeCell ref="AG91:AH91"/>
    <mergeCell ref="AI91:AK91"/>
    <mergeCell ref="AI79:AK79"/>
    <mergeCell ref="AI80:AK80"/>
    <mergeCell ref="AG89:AH89"/>
    <mergeCell ref="AI89:AK89"/>
    <mergeCell ref="AG90:AH90"/>
    <mergeCell ref="AI90:AK90"/>
    <mergeCell ref="AC213:AD213"/>
    <mergeCell ref="AE216:AF216"/>
    <mergeCell ref="AI31:AK31"/>
    <mergeCell ref="AI32:AK32"/>
    <mergeCell ref="AI33:AK33"/>
    <mergeCell ref="AI54:AK54"/>
    <mergeCell ref="AG55:AH55"/>
    <mergeCell ref="AI55:AK55"/>
    <mergeCell ref="AI43:AK43"/>
    <mergeCell ref="AG52:AH52"/>
    <mergeCell ref="AI52:AK52"/>
    <mergeCell ref="AI53:AK53"/>
    <mergeCell ref="AG54:AH54"/>
    <mergeCell ref="AC31:AD31"/>
    <mergeCell ref="AE31:AF31"/>
    <mergeCell ref="AC32:AD32"/>
    <mergeCell ref="AE32:AF32"/>
    <mergeCell ref="AG53:AH53"/>
    <mergeCell ref="AC33:AD33"/>
    <mergeCell ref="AL29:AT29"/>
    <mergeCell ref="AL30:AT30"/>
    <mergeCell ref="AR43:AT43"/>
    <mergeCell ref="AR42:AT42"/>
    <mergeCell ref="AP52:AQ52"/>
    <mergeCell ref="AR52:AT52"/>
    <mergeCell ref="AL32:AM32"/>
    <mergeCell ref="AL33:AM33"/>
    <mergeCell ref="AL31:AM31"/>
    <mergeCell ref="AN31:AO31"/>
    <mergeCell ref="AN32:AO32"/>
    <mergeCell ref="AP53:AQ53"/>
    <mergeCell ref="AR53:AT53"/>
    <mergeCell ref="AP54:AQ54"/>
    <mergeCell ref="AR54:AT54"/>
    <mergeCell ref="AR31:AT31"/>
    <mergeCell ref="AR32:AT32"/>
    <mergeCell ref="AR33:AT33"/>
    <mergeCell ref="AE217:AF217"/>
    <mergeCell ref="AE218:AF218"/>
    <mergeCell ref="AE219:AF219"/>
    <mergeCell ref="AE223:AF223"/>
    <mergeCell ref="AI219:AJ219"/>
    <mergeCell ref="AI220:AJ220"/>
    <mergeCell ref="AI221:AJ221"/>
    <mergeCell ref="AE220:AF220"/>
    <mergeCell ref="AE221:AF221"/>
    <mergeCell ref="AE222:AF222"/>
    <mergeCell ref="AI217:AJ217"/>
    <mergeCell ref="AI218:AJ218"/>
  </mergeCells>
  <phoneticPr fontId="15" type="noConversion"/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9B62-CEF5-4F0C-ADAA-4C51C575A6DD}">
  <dimension ref="A1"/>
  <sheetViews>
    <sheetView workbookViewId="0">
      <selection activeCell="O76" sqref="O76"/>
    </sheetView>
  </sheetViews>
  <sheetFormatPr baseColWidth="10" defaultRowHeight="12.5" x14ac:dyDescent="0.25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"/>
  <sheetViews>
    <sheetView showGridLines="0" workbookViewId="0"/>
  </sheetViews>
  <sheetFormatPr baseColWidth="10" defaultRowHeight="12.5" x14ac:dyDescent="0.25"/>
  <cols>
    <col min="1" max="1" width="1.08984375" customWidth="1"/>
    <col min="2" max="2" width="64.453125" customWidth="1"/>
    <col min="3" max="3" width="1.54296875" customWidth="1"/>
    <col min="4" max="4" width="5.54296875" customWidth="1"/>
    <col min="5" max="6" width="16" customWidth="1"/>
  </cols>
  <sheetData>
    <row r="1" spans="2:6" ht="13" x14ac:dyDescent="0.25">
      <c r="B1" s="277" t="s">
        <v>205</v>
      </c>
      <c r="C1" s="277"/>
      <c r="D1" s="281"/>
      <c r="E1" s="281"/>
      <c r="F1" s="281"/>
    </row>
    <row r="2" spans="2:6" ht="13" x14ac:dyDescent="0.25">
      <c r="B2" s="277" t="s">
        <v>206</v>
      </c>
      <c r="C2" s="277"/>
      <c r="D2" s="281"/>
      <c r="E2" s="281"/>
      <c r="F2" s="281"/>
    </row>
    <row r="3" spans="2:6" x14ac:dyDescent="0.25">
      <c r="B3" s="278"/>
      <c r="C3" s="278"/>
      <c r="D3" s="282"/>
      <c r="E3" s="282"/>
      <c r="F3" s="282"/>
    </row>
    <row r="4" spans="2:6" ht="37.5" x14ac:dyDescent="0.25">
      <c r="B4" s="278" t="s">
        <v>207</v>
      </c>
      <c r="C4" s="278"/>
      <c r="D4" s="282"/>
      <c r="E4" s="282"/>
      <c r="F4" s="282"/>
    </row>
    <row r="5" spans="2:6" x14ac:dyDescent="0.25">
      <c r="B5" s="278"/>
      <c r="C5" s="278"/>
      <c r="D5" s="282"/>
      <c r="E5" s="282"/>
      <c r="F5" s="282"/>
    </row>
    <row r="6" spans="2:6" ht="13" x14ac:dyDescent="0.25">
      <c r="B6" s="277" t="s">
        <v>208</v>
      </c>
      <c r="C6" s="277"/>
      <c r="D6" s="281"/>
      <c r="E6" s="281" t="s">
        <v>209</v>
      </c>
      <c r="F6" s="281" t="s">
        <v>210</v>
      </c>
    </row>
    <row r="7" spans="2:6" ht="13" thickBot="1" x14ac:dyDescent="0.3">
      <c r="B7" s="278"/>
      <c r="C7" s="278"/>
      <c r="D7" s="282"/>
      <c r="E7" s="282"/>
      <c r="F7" s="282"/>
    </row>
    <row r="8" spans="2:6" ht="38" thickBot="1" x14ac:dyDescent="0.3">
      <c r="B8" s="279" t="s">
        <v>211</v>
      </c>
      <c r="C8" s="280"/>
      <c r="D8" s="283"/>
      <c r="E8" s="283">
        <v>6</v>
      </c>
      <c r="F8" s="284" t="s">
        <v>212</v>
      </c>
    </row>
    <row r="9" spans="2:6" x14ac:dyDescent="0.25">
      <c r="B9" s="278"/>
      <c r="C9" s="278"/>
      <c r="D9" s="282"/>
      <c r="E9" s="282"/>
      <c r="F9" s="282"/>
    </row>
    <row r="10" spans="2:6" x14ac:dyDescent="0.25">
      <c r="B10" s="278"/>
      <c r="C10" s="278"/>
      <c r="D10" s="282"/>
      <c r="E10" s="282"/>
      <c r="F10" s="28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Tabelle1</vt:lpstr>
      <vt:lpstr>Tabelle2</vt:lpstr>
      <vt:lpstr>Qualitätsanforderungen</vt:lpstr>
      <vt:lpstr>Kompatibilitätsbericht</vt:lpstr>
      <vt:lpstr>A</vt:lpstr>
      <vt:lpstr>Tabelle1!Druckbereich</vt:lpstr>
      <vt:lpstr>Wenn_D12_1_0_SVERWEIS_D12_Tabelle2_AA38_AN56_8_Falsch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Walzasphalt-Deklaration Zürich</dc:title>
  <dc:subject>Asfatop 2006 / BBP Bern (mit Ber.-Hilfe)</dc:subject>
  <dc:creator>bruno.zwyer@blzag.ch</dc:creator>
  <dc:description>Erstelldatum: 29.10.2007/Ma</dc:description>
  <cp:lastModifiedBy>Iwan Wolf</cp:lastModifiedBy>
  <cp:lastPrinted>2023-04-25T12:22:23Z</cp:lastPrinted>
  <dcterms:created xsi:type="dcterms:W3CDTF">1999-02-17T07:42:37Z</dcterms:created>
  <dcterms:modified xsi:type="dcterms:W3CDTF">2025-12-01T10:19:44Z</dcterms:modified>
  <cp:category>AC 11 L;22.00.xls</cp:category>
</cp:coreProperties>
</file>